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Übersicht" sheetId="1" state="visible" r:id="rId1"/>
    <sheet xmlns:r="http://schemas.openxmlformats.org/officeDocument/2006/relationships" name="Rechnungsbuch" sheetId="2" state="visible" r:id="rId2"/>
    <sheet xmlns:r="http://schemas.openxmlformats.org/officeDocument/2006/relationships" name="Kreditoren" sheetId="3" state="hidden" r:id="rId3"/>
    <sheet xmlns:r="http://schemas.openxmlformats.org/officeDocument/2006/relationships" name="Projekte" sheetId="4" state="hidden" r:id="rId4"/>
    <sheet xmlns:r="http://schemas.openxmlformats.org/officeDocument/2006/relationships" name="_Daten" sheetId="5" state="hidden" r:id="rId5"/>
    <sheet xmlns:r="http://schemas.openxmlformats.org/officeDocument/2006/relationships" name="Offen &amp; Fällig" sheetId="6" state="visible" r:id="rId6"/>
  </sheets>
  <definedNames>
    <definedName name="LiefVals">OFFSET(Kreditoren!$B$2,0,0,MAX(1,COUNTA(Kreditoren!$B$2:$B$1000)),1)</definedName>
    <definedName name="ProjVals">OFFSET(Projekte!$A$2,0,0,MAX(1,COUNTA(Projekte!$A$2:$A$1000)),1)</definedName>
    <definedName name="GesListe">OFFSET(_Daten!$A$1,0,0,COUNTIF(_Daten!$A$1:$A$200,"?*"),1)</definedName>
    <definedName name="KatListe">OFFSET(_Daten!$C$1,0,0,COUNTIF(_Daten!$C$1:$C$200,"?*"),1)</definedName>
    <definedName name="LiefListe">OFFSET(_Daten!$E$1,0,0,COUNTIF(_Daten!$E$1:$E$200,"?*"),1)</definedName>
  </definedNames>
  <calcPr calcId="124519" fullCalcOnLoad="1"/>
</workbook>
</file>

<file path=xl/styles.xml><?xml version="1.0" encoding="utf-8"?>
<styleSheet xmlns="http://schemas.openxmlformats.org/spreadsheetml/2006/main">
  <numFmts count="3">
    <numFmt numFmtId="164" formatCode="DD.MM.YYYY"/>
    <numFmt numFmtId="165" formatCode="#,##0.00 &quot;€&quot;"/>
    <numFmt numFmtId="166" formatCode="#,##0 &quot;€&quot;"/>
  </numFmts>
  <fonts count="25">
    <font>
      <name val="Calibri"/>
      <family val="2"/>
      <color theme="1"/>
      <sz val="11"/>
      <scheme val="minor"/>
    </font>
    <font>
      <name val="Open Sans"/>
      <b val="1"/>
      <color rgb="00FFFFFF"/>
      <sz val="16"/>
    </font>
    <font>
      <name val="Open Sans"/>
      <color rgb="00C9D1D6"/>
      <sz val="10"/>
    </font>
    <font>
      <name val="Open Sans"/>
      <b val="1"/>
      <color rgb="00FFFFFF"/>
      <sz val="9.5"/>
    </font>
    <font>
      <name val="Open Sans"/>
      <color rgb="003399FF"/>
      <sz val="10"/>
      <u val="single"/>
    </font>
    <font>
      <name val="Open Sans"/>
      <color rgb="009CA3AF"/>
      <sz val="10"/>
    </font>
    <font>
      <name val="Open Sans"/>
      <b val="1"/>
      <color rgb="00B8A387"/>
      <sz val="9"/>
    </font>
    <font>
      <name val="Open Sans"/>
      <color rgb="00FFFFFF"/>
      <sz val="10"/>
    </font>
    <font>
      <name val="Open Sans"/>
      <b val="1"/>
      <color rgb="002B3A44"/>
      <sz val="11"/>
    </font>
    <font>
      <name val="Open Sans"/>
      <color rgb="007D8A91"/>
      <sz val="9"/>
    </font>
    <font>
      <name val="Open Sans"/>
      <b val="1"/>
      <color rgb="001F2937"/>
      <sz val="22"/>
    </font>
    <font>
      <name val="Open Sans"/>
      <color rgb="00667277"/>
      <sz val="11"/>
    </font>
    <font>
      <name val="Open Sans"/>
      <color rgb="001F2937"/>
      <sz val="10"/>
    </font>
    <font>
      <name val="Open Sans"/>
      <color rgb="002B3A44"/>
      <sz val="10"/>
    </font>
    <font>
      <name val="Open Sans"/>
      <b val="1"/>
      <color rgb="002B3A44"/>
      <sz val="22"/>
    </font>
    <font>
      <name val="Open Sans"/>
      <color rgb="00991B1B"/>
      <sz val="10"/>
    </font>
    <font>
      <name val="Open Sans"/>
      <b val="1"/>
      <color rgb="00991B1B"/>
      <sz val="22"/>
    </font>
    <font>
      <name val="Open Sans"/>
      <color rgb="000F766E"/>
      <sz val="10"/>
    </font>
    <font>
      <name val="Open Sans"/>
      <b val="1"/>
      <color rgb="000F766E"/>
      <sz val="22"/>
    </font>
    <font>
      <name val="Open Sans"/>
      <b val="1"/>
      <color rgb="00991B1B"/>
      <sz val="12"/>
    </font>
    <font>
      <name val="Open Sans"/>
      <i val="1"/>
      <color rgb="00991B1B"/>
      <sz val="10"/>
    </font>
    <font>
      <name val="Open Sans"/>
      <b val="1"/>
      <color rgb="001F2937"/>
      <sz val="11"/>
    </font>
    <font>
      <name val="Open Sans"/>
      <color rgb="00667277"/>
      <sz val="10"/>
    </font>
    <font>
      <name val="Open Sans"/>
      <b val="1"/>
      <color rgb="002B3A44"/>
      <sz val="15"/>
    </font>
    <font>
      <name val="Open Sans"/>
      <b val="1"/>
      <color rgb="00FFFFFF"/>
      <sz val="10"/>
    </font>
  </fonts>
  <fills count="10">
    <fill>
      <patternFill/>
    </fill>
    <fill>
      <patternFill patternType="gray125"/>
    </fill>
    <fill>
      <patternFill patternType="solid">
        <fgColor rgb="002B3A44"/>
      </patternFill>
    </fill>
    <fill>
      <patternFill patternType="solid">
        <fgColor rgb="00FBF9F6"/>
      </patternFill>
    </fill>
    <fill>
      <patternFill patternType="solid">
        <fgColor rgb="00FFFFFF"/>
      </patternFill>
    </fill>
    <fill>
      <patternFill patternType="solid">
        <fgColor rgb="00E8F5F2"/>
      </patternFill>
    </fill>
    <fill>
      <patternFill patternType="solid">
        <fgColor rgb="00B8A387"/>
      </patternFill>
    </fill>
    <fill>
      <patternFill patternType="solid">
        <fgColor rgb="00FEE2E2"/>
      </patternFill>
    </fill>
    <fill>
      <patternFill patternType="solid">
        <fgColor rgb="00E1F5EE"/>
      </patternFill>
    </fill>
    <fill>
      <patternFill patternType="solid">
        <fgColor rgb="00FCD9D9"/>
      </patternFill>
    </fill>
  </fills>
  <borders count="26">
    <border>
      <left/>
      <right/>
      <top/>
      <bottom/>
      <diagonal/>
    </border>
    <border>
      <left style="thin">
        <color rgb="00B8A387"/>
      </left>
      <top style="thin">
        <color rgb="00B8A387"/>
      </top>
      <bottom style="thin">
        <color rgb="00B8A387"/>
      </bottom>
    </border>
    <border>
      <right style="thin">
        <color rgb="00B8A387"/>
      </right>
      <top style="thin">
        <color rgb="00B8A387"/>
      </top>
      <bottom style="thin">
        <color rgb="00B8A387"/>
      </bottom>
    </border>
    <border>
      <left style="thin">
        <color rgb="00E6E0D7"/>
      </left>
      <right/>
      <top style="thin">
        <color rgb="00E6E0D7"/>
      </top>
      <bottom/>
    </border>
    <border>
      <left style="thin">
        <color rgb="00E6E0D7"/>
      </left>
      <right/>
      <top/>
      <bottom/>
    </border>
    <border>
      <left style="thin">
        <color rgb="00E6E0D7"/>
      </left>
      <right/>
      <top/>
      <bottom style="thin">
        <color rgb="00E6E0D7"/>
      </bottom>
    </border>
    <border>
      <left/>
      <right/>
      <top style="thin">
        <color rgb="00E6E0D7"/>
      </top>
      <bottom/>
    </border>
    <border>
      <left/>
      <right/>
      <top/>
      <bottom/>
    </border>
    <border>
      <left/>
      <right/>
      <top/>
      <bottom style="thin">
        <color rgb="00E6E0D7"/>
      </bottom>
    </border>
    <border>
      <left/>
      <right style="thin">
        <color rgb="00E6E0D7"/>
      </right>
      <top style="thin">
        <color rgb="00E6E0D7"/>
      </top>
      <bottom/>
    </border>
    <border>
      <left/>
      <right style="thin">
        <color rgb="00E6E0D7"/>
      </right>
      <top/>
      <bottom/>
    </border>
    <border>
      <left/>
      <right style="thin">
        <color rgb="00E6E0D7"/>
      </right>
      <top/>
      <bottom style="thin">
        <color rgb="00E6E0D7"/>
      </bottom>
    </border>
    <border>
      <left style="thin">
        <color rgb="00E6E0D7"/>
      </left>
      <right style="thin">
        <color rgb="00E6E0D7"/>
      </right>
      <top style="thin">
        <color rgb="00E6E0D7"/>
      </top>
      <bottom/>
    </border>
    <border>
      <left/>
      <right/>
      <top style="thin">
        <color rgb="00E6E0D7"/>
      </top>
      <bottom/>
      <diagonal/>
    </border>
    <border>
      <left/>
      <right style="thin">
        <color rgb="00E6E0D7"/>
      </right>
      <top style="thin">
        <color rgb="00E6E0D7"/>
      </top>
      <bottom/>
      <diagonal/>
    </border>
    <border>
      <left style="thin">
        <color rgb="00E6E0D7"/>
      </left>
      <right style="thin">
        <color rgb="00E6E0D7"/>
      </right>
      <top/>
      <bottom style="thin">
        <color rgb="00E6E0D7"/>
      </bottom>
    </border>
    <border>
      <left style="thin">
        <color rgb="00E6E0D7"/>
      </left>
      <right/>
      <top/>
      <bottom/>
      <diagonal/>
    </border>
    <border>
      <left/>
      <right style="thin">
        <color rgb="00E6E0D7"/>
      </right>
      <top/>
      <bottom/>
      <diagonal/>
    </border>
    <border>
      <left style="thin">
        <color rgb="00E6E0D7"/>
      </left>
      <right/>
      <top/>
      <bottom style="thin">
        <color rgb="00E6E0D7"/>
      </bottom>
      <diagonal/>
    </border>
    <border>
      <left/>
      <right/>
      <top/>
      <bottom style="thin">
        <color rgb="00E6E0D7"/>
      </bottom>
      <diagonal/>
    </border>
    <border>
      <left/>
      <right style="thin">
        <color rgb="00E6E0D7"/>
      </right>
      <top/>
      <bottom style="thin">
        <color rgb="00E6E0D7"/>
      </bottom>
      <diagonal/>
    </border>
    <border>
      <left style="thin">
        <color rgb="00B8A387"/>
      </left>
      <right style="thin">
        <color rgb="00B8A387"/>
      </right>
      <top style="thin">
        <color rgb="00B8A387"/>
      </top>
      <bottom style="thin">
        <color rgb="00B8A387"/>
      </bottom>
    </border>
    <border>
      <left/>
      <right/>
      <top style="thin">
        <color rgb="00B8A387"/>
      </top>
      <bottom/>
      <diagonal/>
    </border>
    <border>
      <left/>
      <right style="thin">
        <color rgb="00B8A387"/>
      </right>
      <top style="thin">
        <color rgb="00B8A387"/>
      </top>
      <bottom/>
      <diagonal/>
    </border>
    <border>
      <left/>
      <right style="thin">
        <color rgb="00B8A387"/>
      </right>
      <top style="thin">
        <color rgb="00B8A387"/>
      </top>
      <bottom style="thin">
        <color rgb="00B8A387"/>
      </bottom>
      <diagonal/>
    </border>
    <border>
      <bottom style="thin">
        <color rgb="00E6E0D7"/>
      </bottom>
    </border>
  </borders>
  <cellStyleXfs count="1">
    <xf numFmtId="0" fontId="0" fillId="0" borderId="0"/>
  </cellStyleXfs>
  <cellXfs count="46">
    <xf numFmtId="0" fontId="0" fillId="0" borderId="0" pivotButton="0" quotePrefix="0" xfId="0"/>
    <xf numFmtId="0" fontId="0" fillId="2" borderId="0" pivotButton="0" quotePrefix="0" xfId="0"/>
    <xf numFmtId="0" fontId="1" fillId="2" borderId="0" applyAlignment="1" pivotButton="0" quotePrefix="0" xfId="0">
      <alignment horizontal="left" vertical="center"/>
    </xf>
    <xf numFmtId="0" fontId="2" fillId="2" borderId="0" pivotButton="0" quotePrefix="0" xfId="0"/>
    <xf numFmtId="0" fontId="3" fillId="2" borderId="0" applyAlignment="1" pivotButton="0" quotePrefix="0" xfId="0">
      <alignment horizontal="left" vertical="center" indent="1"/>
    </xf>
    <xf numFmtId="164" fontId="0" fillId="0" borderId="0" pivotButton="0" quotePrefix="0" xfId="0"/>
    <xf numFmtId="0" fontId="5" fillId="0" borderId="0" pivotButton="0" quotePrefix="0" xfId="0"/>
    <xf numFmtId="165" fontId="0" fillId="0" borderId="0" pivotButton="0" quotePrefix="0" xfId="0"/>
    <xf numFmtId="0" fontId="4" fillId="0" borderId="0" pivotButton="0" quotePrefix="0" xfId="0"/>
    <xf numFmtId="0" fontId="0" fillId="3" borderId="0" pivotButton="0" quotePrefix="0" xfId="0"/>
    <xf numFmtId="0" fontId="10" fillId="3" borderId="0" applyAlignment="1" pivotButton="0" quotePrefix="0" xfId="0">
      <alignment horizontal="left" vertical="center"/>
    </xf>
    <xf numFmtId="0" fontId="11" fillId="3" borderId="0" applyAlignment="1" pivotButton="0" quotePrefix="0" xfId="0">
      <alignment horizontal="left" vertical="center"/>
    </xf>
    <xf numFmtId="0" fontId="12" fillId="5" borderId="0" applyAlignment="1" pivotButton="0" quotePrefix="0" xfId="0">
      <alignment horizontal="left" vertical="center" indent="1"/>
    </xf>
    <xf numFmtId="0" fontId="13" fillId="6" borderId="0" applyAlignment="1" pivotButton="0" quotePrefix="0" xfId="0">
      <alignment horizontal="left" vertical="center" indent="1"/>
    </xf>
    <xf numFmtId="0" fontId="15" fillId="7" borderId="0" applyAlignment="1" pivotButton="0" quotePrefix="0" xfId="0">
      <alignment horizontal="left" vertical="center" indent="1"/>
    </xf>
    <xf numFmtId="0" fontId="17" fillId="8" borderId="0" applyAlignment="1" pivotButton="0" quotePrefix="0" xfId="0">
      <alignment horizontal="left" vertical="center" indent="1"/>
    </xf>
    <xf numFmtId="166" fontId="10" fillId="5" borderId="0" applyAlignment="1" pivotButton="0" quotePrefix="0" xfId="0">
      <alignment horizontal="left" vertical="center" indent="1"/>
    </xf>
    <xf numFmtId="166" fontId="14" fillId="6" borderId="0" applyAlignment="1" pivotButton="0" quotePrefix="0" xfId="0">
      <alignment horizontal="left" vertical="center" indent="1"/>
    </xf>
    <xf numFmtId="166" fontId="16" fillId="7" borderId="0" applyAlignment="1" pivotButton="0" quotePrefix="0" xfId="0">
      <alignment horizontal="left" vertical="center" indent="1"/>
    </xf>
    <xf numFmtId="166" fontId="18" fillId="8" borderId="0" applyAlignment="1" pivotButton="0" quotePrefix="0" xfId="0">
      <alignment horizontal="left" vertical="center" indent="1"/>
    </xf>
    <xf numFmtId="0" fontId="6" fillId="2" borderId="0" applyAlignment="1" pivotButton="0" quotePrefix="0" xfId="0">
      <alignment horizontal="left" indent="1"/>
    </xf>
    <xf numFmtId="0" fontId="7" fillId="2" borderId="0" applyAlignment="1" pivotButton="0" quotePrefix="0" xfId="0">
      <alignment horizontal="left" indent="1"/>
    </xf>
    <xf numFmtId="0" fontId="8" fillId="4" borderId="1" applyAlignment="1" pivotButton="0" quotePrefix="0" xfId="0">
      <alignment horizontal="left" vertical="center" indent="1"/>
    </xf>
    <xf numFmtId="0" fontId="0" fillId="4" borderId="2" pivotButton="0" quotePrefix="0" xfId="0"/>
    <xf numFmtId="0" fontId="19" fillId="9" borderId="0" applyAlignment="1" pivotButton="0" quotePrefix="0" xfId="0">
      <alignment horizontal="left" vertical="center" indent="1"/>
    </xf>
    <xf numFmtId="0" fontId="20" fillId="7" borderId="0" applyAlignment="1" pivotButton="0" quotePrefix="0" xfId="0">
      <alignment horizontal="left" vertical="center" indent="1"/>
    </xf>
    <xf numFmtId="0" fontId="0" fillId="7" borderId="0" pivotButton="0" quotePrefix="0" xfId="0"/>
    <xf numFmtId="0" fontId="21" fillId="3" borderId="0" applyAlignment="1" pivotButton="0" quotePrefix="0" xfId="0">
      <alignment horizontal="left" indent="1"/>
    </xf>
    <xf numFmtId="0" fontId="22" fillId="4" borderId="12" applyAlignment="1" pivotButton="0" quotePrefix="0" xfId="0">
      <alignment horizontal="center"/>
    </xf>
    <xf numFmtId="0" fontId="0" fillId="0" borderId="13" pivotButton="0" quotePrefix="0" xfId="0"/>
    <xf numFmtId="0" fontId="0" fillId="0" borderId="14" pivotButton="0" quotePrefix="0" xfId="0"/>
    <xf numFmtId="0" fontId="23" fillId="4" borderId="15" applyAlignment="1" pivotButton="0" quotePrefix="0" xfId="0">
      <alignment horizontal="center" vertical="center"/>
    </xf>
    <xf numFmtId="0" fontId="0" fillId="0" borderId="17" pivotButton="0" quotePrefix="0" xfId="0"/>
    <xf numFmtId="0" fontId="0" fillId="0" borderId="18" pivotButton="0" quotePrefix="0" xfId="0"/>
    <xf numFmtId="0" fontId="0" fillId="0" borderId="19" pivotButton="0" quotePrefix="0" xfId="0"/>
    <xf numFmtId="0" fontId="0" fillId="0" borderId="20" pivotButton="0" quotePrefix="0" xfId="0"/>
    <xf numFmtId="0" fontId="6" fillId="2" borderId="0" applyAlignment="1" pivotButton="0" quotePrefix="0" xfId="0">
      <alignment horizontal="center"/>
    </xf>
    <xf numFmtId="0" fontId="9" fillId="2" borderId="0" applyAlignment="1" pivotButton="0" quotePrefix="0" xfId="0">
      <alignment horizontal="center"/>
    </xf>
    <xf numFmtId="164" fontId="0" fillId="0" borderId="0" pivotButton="0" quotePrefix="0" xfId="0"/>
    <xf numFmtId="165" fontId="0" fillId="0" borderId="0" pivotButton="0" quotePrefix="0" xfId="0"/>
    <xf numFmtId="0" fontId="8" fillId="4" borderId="21" applyAlignment="1" pivotButton="0" quotePrefix="0" xfId="0">
      <alignment horizontal="left" vertical="center" indent="1"/>
    </xf>
    <xf numFmtId="0" fontId="0" fillId="0" borderId="24" pivotButton="0" quotePrefix="0" xfId="0"/>
    <xf numFmtId="0" fontId="24" fillId="2" borderId="0" applyAlignment="1" pivotButton="0" quotePrefix="0" xfId="0">
      <alignment horizontal="left" vertical="center" indent="1"/>
    </xf>
    <xf numFmtId="0" fontId="12" fillId="0" borderId="25" applyAlignment="1" pivotButton="0" quotePrefix="0" xfId="0">
      <alignment horizontal="left" vertical="center" indent="1"/>
    </xf>
    <xf numFmtId="166" fontId="12" fillId="0" borderId="25" applyAlignment="1" pivotButton="0" quotePrefix="0" xfId="0">
      <alignment horizontal="left" vertical="center" indent="1"/>
    </xf>
    <xf numFmtId="164" fontId="12" fillId="0" borderId="25" applyAlignment="1" pivotButton="0" quotePrefix="0" xfId="0">
      <alignment horizontal="left" vertical="center" indent="1"/>
    </xf>
  </cellXfs>
  <cellStyles count="1">
    <cellStyle name="Normal" xfId="0" builtinId="0" hidden="0"/>
  </cellStyles>
  <dxfs count="3">
    <dxf>
      <fill>
        <patternFill patternType="solid">
          <fgColor rgb="00FEF3C7"/>
        </patternFill>
      </fill>
    </dxf>
    <dxf>
      <fill>
        <patternFill patternType="solid">
          <fgColor rgb="00DCFCE7"/>
        </patternFill>
      </fill>
    </dxf>
    <dxf>
      <font>
        <b val="1"/>
        <color rgb="00991B1B"/>
      </font>
      <fill>
        <patternFill patternType="solid">
          <fgColor rgb="00FEE2E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 sz="1250" b="1">
                <a:solidFill>
                  <a:srgbClr val="2B3A44"/>
                </a:solidFill>
                <a:latin typeface="Open Sans"/>
              </a:defRPr>
            </a:pPr>
            <a:r>
              <a:rPr sz="1250" b="1">
                <a:solidFill>
                  <a:srgbClr val="2B3A44"/>
                </a:solidFill>
                <a:latin typeface="Open Sans"/>
              </a:rPr>
              <a:t>Eingang je Monat (rollierend)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'_Daten'!K1</f>
            </strRef>
          </tx>
          <spPr>
            <a:solidFill xmlns:a="http://schemas.openxmlformats.org/drawingml/2006/main">
              <a:srgbClr val="2B3A44"/>
            </a:solidFill>
            <a:ln xmlns:a="http://schemas.openxmlformats.org/drawingml/2006/main">
              <a:prstDash val="solid"/>
            </a:ln>
          </spPr>
          <cat>
            <numRef>
              <f>'_Daten'!$J$2:$J$7</f>
            </numRef>
          </cat>
          <val>
            <numRef>
              <f>'_Daten'!$K$2:$K$7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delete val="0"/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delete val="0"/>
        <axPos val="l"/>
        <majorTickMark val="none"/>
        <minorTickMark val="none"/>
        <crossAx val="10"/>
      </valAx>
    </plotArea>
    <plotVisOnly val="1"/>
    <dispBlanksAs val="gap"/>
  </chart>
  <spPr>
    <a:solidFill xmlns:a="http://schemas.openxmlformats.org/drawingml/2006/main">
      <a:srgbClr val="FFFFFF"/>
    </a:solidFill>
    <a:ln xmlns:a="http://schemas.openxmlformats.org/drawingml/2006/main" w="9525">
      <a:solidFill>
        <a:srgbClr val="E6E0D7"/>
      </a:solidFill>
      <a:prstDash val="solid"/>
    </a:ln>
  </spPr>
</chartSpace>
</file>

<file path=xl/charts/chart2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 sz="1250" b="1">
                <a:solidFill>
                  <a:srgbClr val="2B3A44"/>
                </a:solidFill>
                <a:latin typeface="Open Sans"/>
              </a:defRPr>
            </a:pPr>
            <a:r>
              <a:rPr sz="1250" b="1">
                <a:solidFill>
                  <a:srgbClr val="2B3A44"/>
                </a:solidFill>
                <a:latin typeface="Open Sans"/>
              </a:rPr>
              <a:t>Nach Kategorie (Betrag)</a:t>
            </a:r>
          </a:p>
        </rich>
      </tx>
    </title>
    <plotArea>
      <barChart>
        <barDir val="bar"/>
        <grouping val="clustered"/>
        <ser>
          <idx val="0"/>
          <order val="0"/>
          <tx>
            <strRef>
              <f>'_Daten'!Q1</f>
            </strRef>
          </tx>
          <spPr>
            <a:solidFill xmlns:a="http://schemas.openxmlformats.org/drawingml/2006/main">
              <a:srgbClr val="B8A387"/>
            </a:solidFill>
            <a:ln xmlns:a="http://schemas.openxmlformats.org/drawingml/2006/main">
              <a:prstDash val="solid"/>
            </a:ln>
          </spPr>
          <cat>
            <numRef>
              <f>'_Daten'!$P$2:$P$8</f>
            </numRef>
          </cat>
          <val>
            <numRef>
              <f>'_Daten'!$Q$2:$Q$8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delete val="0"/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delete val="0"/>
        <axPos val="l"/>
        <majorGridlines/>
        <majorTickMark val="none"/>
        <minorTickMark val="none"/>
        <crossAx val="10"/>
      </valAx>
    </plotArea>
    <plotVisOnly val="1"/>
    <dispBlanksAs val="gap"/>
  </chart>
  <spPr>
    <a:solidFill xmlns:a="http://schemas.openxmlformats.org/drawingml/2006/main">
      <a:srgbClr val="FFFFFF"/>
    </a:solidFill>
    <a:ln xmlns:a="http://schemas.openxmlformats.org/drawingml/2006/main" w="9525">
      <a:solidFill>
        <a:srgbClr val="E6E0D7"/>
      </a:solidFill>
      <a:prstDash val="solid"/>
    </a:ln>
  </spPr>
</chartSpace>
</file>

<file path=xl/charts/chart3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 sz="1250" b="1">
                <a:solidFill>
                  <a:srgbClr val="2B3A44"/>
                </a:solidFill>
                <a:latin typeface="Open Sans"/>
              </a:defRPr>
            </a:pPr>
            <a:r>
              <a:rPr sz="1250" b="1">
                <a:solidFill>
                  <a:srgbClr val="2B3A44"/>
                </a:solidFill>
                <a:latin typeface="Open Sans"/>
              </a:rPr>
              <a:t>Top Lieferanten (Betrag)</a:t>
            </a:r>
          </a:p>
        </rich>
      </tx>
    </title>
    <plotArea>
      <barChart>
        <barDir val="bar"/>
        <grouping val="clustered"/>
        <ser>
          <idx val="0"/>
          <order val="0"/>
          <tx>
            <strRef>
              <f>'_Daten'!N1</f>
            </strRef>
          </tx>
          <spPr>
            <a:solidFill xmlns:a="http://schemas.openxmlformats.org/drawingml/2006/main">
              <a:srgbClr val="2B3A44"/>
            </a:solidFill>
            <a:ln xmlns:a="http://schemas.openxmlformats.org/drawingml/2006/main">
              <a:prstDash val="solid"/>
            </a:ln>
          </spPr>
          <cat>
            <numRef>
              <f>'_Daten'!$M$2:$M$12</f>
            </numRef>
          </cat>
          <val>
            <numRef>
              <f>'_Daten'!$N$2:$N$12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delete val="0"/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delete val="0"/>
        <axPos val="l"/>
        <majorGridlines/>
        <majorTickMark val="none"/>
        <minorTickMark val="none"/>
        <crossAx val="10"/>
      </valAx>
    </plotArea>
    <plotVisOnly val="1"/>
    <dispBlanksAs val="gap"/>
  </chart>
  <spPr>
    <a:solidFill xmlns:a="http://schemas.openxmlformats.org/drawingml/2006/main">
      <a:srgbClr val="FFFFFF"/>
    </a:solidFill>
    <a:ln xmlns:a="http://schemas.openxmlformats.org/drawingml/2006/main" w="9525">
      <a:solidFill>
        <a:srgbClr val="E6E0D7"/>
      </a:solidFill>
      <a:prstDash val="solid"/>
    </a:ln>
  </spPr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Relationship Type="http://schemas.openxmlformats.org/officeDocument/2006/relationships/chart" Target="/xl/charts/chart2.xml" Id="rId2"/><Relationship Type="http://schemas.openxmlformats.org/officeDocument/2006/relationships/chart" Target="/xl/charts/chart3.xml" Id="rId3"/><Relationship Type="http://schemas.openxmlformats.org/officeDocument/2006/relationships/image" Target="/xl/media/image1.png" Id="rId4"/></Relationships>
</file>

<file path=xl/drawings/_rels/drawing2.xml.rels><Relationships xmlns="http://schemas.openxmlformats.org/package/2006/relationships"><Relationship Type="http://schemas.openxmlformats.org/officeDocument/2006/relationships/image" Target="/xl/media/image2.png" Id="rId1"/></Relationships>
</file>

<file path=xl/drawings/_rels/drawing3.xml.rels><Relationships xmlns="http://schemas.openxmlformats.org/package/2006/relationships"><Relationship Type="http://schemas.openxmlformats.org/officeDocument/2006/relationships/image" Target="/xl/media/image3.png" Id="rId1"/></Relationships>
</file>

<file path=xl/drawings/drawing1.xml><?xml version="1.0" encoding="utf-8"?>
<wsDr xmlns="http://schemas.openxmlformats.org/drawingml/2006/spreadsheetDrawing">
  <oneCellAnchor>
    <from>
      <col>3</col>
      <colOff>0</colOff>
      <row>26</row>
      <rowOff>0</rowOff>
    </from>
    <ext cx="3960000" cy="288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11</col>
      <colOff>0</colOff>
      <row>26</row>
      <rowOff>0</rowOff>
    </from>
    <ext cx="3960000" cy="288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  <oneCellAnchor>
    <from>
      <col>3</col>
      <colOff>0</colOff>
      <row>43</row>
      <rowOff>0</rowOff>
    </from>
    <ext cx="8280000" cy="3240000"/>
    <graphicFrame>
      <nvGraphicFramePr>
        <cNvPr id="3" name="Chart 3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graphicFrame>
    <clientData/>
  </oneCellAnchor>
  <oneCellAnchor>
    <from>
      <col>0</col>
      <colOff>0</colOff>
      <row>1</row>
      <rowOff>0</rowOff>
    </from>
    <ext cx="1676400" cy="847725"/>
    <pic>
      <nvPicPr>
        <cNvPr id="4" name="Image 4" descr="Picture"/>
        <cNvPicPr/>
      </nvPicPr>
      <blipFill>
        <a:blip xmlns:a="http://schemas.openxmlformats.org/drawingml/2006/main" xmlns:r="http://schemas.openxmlformats.org/officeDocument/2006/relationships" cstate="print" r:embed="rId4"/>
        <a:stretch xmlns:a="http://schemas.openxmlformats.org/drawingml/2006/main">
          <a:fillRect/>
        </a:stretch>
      </blipFill>
      <spPr>
        <a:prstGeom xmlns:a="http://schemas.openxmlformats.org/drawingml/2006/main" prst="rect"/>
        <a:ln xmlns:a="http://schemas.openxmlformats.org/drawingml/2006/main">
          <a:prstDash val="solid"/>
        </a:ln>
      </spPr>
    </pic>
    <clientData/>
  </oneCellAnchor>
</wsDr>
</file>

<file path=xl/drawings/drawing2.xml><?xml version="1.0" encoding="utf-8"?>
<wsDr xmlns="http://schemas.openxmlformats.org/drawingml/2006/spreadsheetDrawing">
  <oneCellAnchor>
    <from>
      <col>0</col>
      <colOff>0</colOff>
      <row>0</row>
      <rowOff>0</rowOff>
    </from>
    <ext cx="1123950" cy="571500"/>
    <pic>
      <nvPicPr>
        <cNvPr id="1" name="Image 1" descr="Picture"/>
        <cNvPicPr/>
      </nvPicPr>
      <blipFill>
        <a:blip xmlns:a="http://schemas.openxmlformats.org/drawingml/2006/main" xmlns:r="http://schemas.openxmlformats.org/officeDocument/2006/relationships" cstate="print" r:embed="rId1"/>
        <a:stretch xmlns:a="http://schemas.openxmlformats.org/drawingml/2006/main">
          <a:fillRect/>
        </a:stretch>
      </blipFill>
      <spPr>
        <a:prstGeom xmlns:a="http://schemas.openxmlformats.org/drawingml/2006/main" prst="rect"/>
        <a:ln xmlns:a="http://schemas.openxmlformats.org/drawingml/2006/main">
          <a:prstDash val="solid"/>
        </a:ln>
      </spPr>
    </pic>
    <clientData/>
  </oneCellAnchor>
</wsDr>
</file>

<file path=xl/drawings/drawing3.xml><?xml version="1.0" encoding="utf-8"?>
<wsDr xmlns="http://schemas.openxmlformats.org/drawingml/2006/spreadsheetDrawing">
  <oneCellAnchor>
    <from>
      <col>0</col>
      <colOff>0</colOff>
      <row>0</row>
      <rowOff>0</rowOff>
    </from>
    <ext cx="1123950" cy="571500"/>
    <pic>
      <nvPicPr>
        <cNvPr id="1" name="Image 1" descr="Picture"/>
        <cNvPicPr/>
      </nvPicPr>
      <blipFill>
        <a:blip xmlns:a="http://schemas.openxmlformats.org/drawingml/2006/main" xmlns:r="http://schemas.openxmlformats.org/officeDocument/2006/relationships" cstate="print" r:embed="rId1"/>
        <a:stretch xmlns:a="http://schemas.openxmlformats.org/drawingml/2006/main">
          <a:fillRect/>
        </a:stretch>
      </blipFill>
      <spPr>
        <a:prstGeom xmlns:a="http://schemas.openxmlformats.org/drawingml/2006/main" prst="rect"/>
      </spPr>
    </pic>
    <clientData/>
  </oneCellAnchor>
</wsDr>
</file>

<file path=xl/tables/table1.xml><?xml version="1.0" encoding="utf-8"?>
<table xmlns="http://schemas.openxmlformats.org/spreadsheetml/2006/main" id="1" name="RE" displayName="RE" ref="A4:T56" headerRowCount="1">
  <autoFilter ref="A4:T56"/>
  <tableColumns count="20">
    <tableColumn id="1" name="Lfd. Nr."/>
    <tableColumn id="2" name="RE-Nr."/>
    <tableColumn id="3" name="RE-Datum"/>
    <tableColumn id="4" name="Eingang"/>
    <tableColumn id="5" name="Faelligkeit"/>
    <tableColumn id="6" name="Lieferant"/>
    <tableColumn id="7" name="Kred.-Konto"/>
    <tableColumn id="8" name="Kategorie"/>
    <tableColumn id="9" name="Projekt"/>
    <tableColumn id="10" name="Gesellschaft"/>
    <tableColumn id="11" name="Brutto"/>
    <tableColumn id="12" name="Netto"/>
    <tableColumn id="13" name="MwSt."/>
    <tableColumn id="14" name="Status"/>
    <tableColumn id="15" name="Sachlich"/>
    <tableColumn id="16" name="Rechnerisch"/>
    <tableColumn id="17" name="Juergen"/>
    <tableColumn id="18" name="Bemerkung"/>
    <tableColumn id="19" name="Dateiname"/>
    <tableColumn id="20" name="Rechnung"/>
  </tableColumns>
  <tableStyleInfo name="TableStyleLight1" showRow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_rels/sheet2.xml.rels><Relationships xmlns="http://schemas.openxmlformats.org/package/2006/relationships"><Relationship Type="http://schemas.openxmlformats.org/officeDocument/2006/relationships/drawing" Target="/xl/drawings/drawing2.xml" Id="rId1"/><Relationship Type="http://schemas.openxmlformats.org/officeDocument/2006/relationships/table" Target="/xl/tables/table1.xml" Id="rId2"/></Relationships>
</file>

<file path=xl/worksheets/_rels/sheet6.xml.rels><Relationships xmlns="http://schemas.openxmlformats.org/package/2006/relationships"><Relationship Type="http://schemas.openxmlformats.org/officeDocument/2006/relationships/drawing" Target="/xl/drawings/drawing3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T60"/>
  <sheetViews>
    <sheetView showGridLines="0" zoomScale="100" workbookViewId="0">
      <selection activeCell="A1" sqref="A1"/>
    </sheetView>
  </sheetViews>
  <sheetFormatPr baseColWidth="8" defaultRowHeight="15"/>
  <cols>
    <col width="3.4" customWidth="1" min="1" max="1"/>
    <col width="24" customWidth="1" min="2" max="2"/>
    <col width="3" customWidth="1" min="3" max="3"/>
    <col width="12" customWidth="1" min="4" max="4"/>
    <col width="12" customWidth="1" min="5" max="5"/>
    <col width="12" customWidth="1" min="6" max="6"/>
    <col width="2" customWidth="1" min="7" max="7"/>
    <col width="12" customWidth="1" min="8" max="8"/>
    <col width="12" customWidth="1" min="9" max="9"/>
    <col width="12" customWidth="1" min="10" max="10"/>
    <col width="2" customWidth="1" min="11" max="11"/>
    <col width="12" customWidth="1" min="12" max="12"/>
    <col width="12" customWidth="1" min="13" max="13"/>
    <col width="12" customWidth="1" min="14" max="14"/>
    <col width="2" customWidth="1" min="15" max="15"/>
    <col width="12" customWidth="1" min="16" max="16"/>
    <col width="12" customWidth="1" min="17" max="17"/>
    <col width="12" customWidth="1" min="18" max="18"/>
  </cols>
  <sheetData>
    <row r="1">
      <c r="A1" s="1" t="n"/>
      <c r="B1" s="1" t="n"/>
      <c r="C1" s="9" t="n"/>
      <c r="D1" s="9" t="n"/>
      <c r="E1" s="9" t="n"/>
      <c r="F1" s="9" t="n"/>
      <c r="G1" s="9" t="n"/>
      <c r="H1" s="9" t="n"/>
      <c r="I1" s="9" t="n"/>
      <c r="J1" s="9" t="n"/>
      <c r="K1" s="9" t="n"/>
      <c r="L1" s="9" t="n"/>
      <c r="M1" s="9" t="n"/>
      <c r="N1" s="9" t="n"/>
      <c r="O1" s="9" t="n"/>
      <c r="P1" s="9" t="n"/>
      <c r="Q1" s="9" t="n"/>
      <c r="R1" s="9" t="n"/>
      <c r="S1" s="9" t="n"/>
      <c r="T1" s="9" t="n"/>
    </row>
    <row r="2" ht="34" customHeight="1">
      <c r="A2" s="1" t="n"/>
      <c r="B2" s="1" t="n"/>
      <c r="C2" s="9" t="n"/>
      <c r="D2" s="10" t="inlineStr">
        <is>
          <t>Rechnungseingang</t>
        </is>
      </c>
      <c r="L2" s="9" t="n"/>
      <c r="M2" s="9" t="n"/>
      <c r="N2" s="9" t="n"/>
      <c r="O2" s="9" t="n"/>
      <c r="P2" s="9" t="n"/>
      <c r="Q2" s="9" t="n"/>
      <c r="R2" s="9" t="n"/>
      <c r="S2" s="9" t="n"/>
      <c r="T2" s="9" t="n"/>
    </row>
    <row r="3" ht="22" customHeight="1">
      <c r="A3" s="1" t="n"/>
      <c r="B3" s="1" t="n"/>
      <c r="C3" s="9" t="n"/>
      <c r="D3" s="11" t="inlineStr">
        <is>
          <t>Kreditoren · Verbindlichkeiten</t>
        </is>
      </c>
      <c r="L3" s="9" t="n"/>
      <c r="M3" s="9" t="n"/>
      <c r="N3" s="9" t="n"/>
      <c r="O3" s="9" t="n"/>
      <c r="P3" s="9" t="n"/>
      <c r="Q3" s="9" t="n"/>
      <c r="R3" s="9" t="n"/>
      <c r="S3" s="9" t="n"/>
      <c r="T3" s="9" t="n"/>
    </row>
    <row r="4" ht="22" customHeight="1">
      <c r="A4" s="1" t="n"/>
      <c r="B4" s="1" t="n"/>
      <c r="C4" s="9" t="n"/>
      <c r="D4" s="9" t="n"/>
      <c r="E4" s="9" t="n"/>
      <c r="F4" s="9" t="n"/>
      <c r="G4" s="9" t="n"/>
      <c r="H4" s="9" t="n"/>
      <c r="I4" s="9" t="n"/>
      <c r="J4" s="9" t="n"/>
      <c r="K4" s="9" t="n"/>
      <c r="L4" s="9" t="n"/>
      <c r="M4" s="9" t="n"/>
      <c r="N4" s="9" t="n"/>
      <c r="O4" s="9" t="n"/>
      <c r="P4" s="9" t="n"/>
      <c r="Q4" s="9" t="n"/>
      <c r="R4" s="9" t="n"/>
      <c r="S4" s="9" t="n"/>
      <c r="T4" s="9" t="n"/>
    </row>
    <row r="5" ht="8" customHeight="1">
      <c r="A5" s="1" t="n"/>
      <c r="B5" s="1" t="n"/>
      <c r="C5" s="9" t="n"/>
      <c r="D5" s="9" t="n"/>
      <c r="E5" s="9" t="n"/>
      <c r="F5" s="9" t="n"/>
      <c r="G5" s="9" t="n"/>
      <c r="H5" s="9" t="n"/>
      <c r="I5" s="9" t="n"/>
      <c r="J5" s="9" t="n"/>
      <c r="K5" s="9" t="n"/>
      <c r="L5" s="9" t="n"/>
      <c r="M5" s="9" t="n"/>
      <c r="N5" s="9" t="n"/>
      <c r="O5" s="9" t="n"/>
      <c r="P5" s="9" t="n"/>
      <c r="Q5" s="9" t="n"/>
      <c r="R5" s="9" t="n"/>
      <c r="S5" s="9" t="n"/>
      <c r="T5" s="9" t="n"/>
    </row>
    <row r="6" ht="18" customHeight="1">
      <c r="A6" s="1" t="n"/>
      <c r="B6" s="1" t="n"/>
      <c r="C6" s="9" t="n"/>
      <c r="D6" s="12" t="inlineStr">
        <is>
          <t>Gesamt</t>
        </is>
      </c>
      <c r="G6" s="9" t="n"/>
      <c r="H6" s="13" t="inlineStr">
        <is>
          <t>Offen</t>
        </is>
      </c>
      <c r="K6" s="9" t="n"/>
      <c r="L6" s="14" t="inlineStr">
        <is>
          <t>Überfällig</t>
        </is>
      </c>
      <c r="O6" s="9" t="n"/>
      <c r="P6" s="15" t="inlineStr">
        <is>
          <t>Bezahlt</t>
        </is>
      </c>
      <c r="S6" s="9" t="n"/>
      <c r="T6" s="9" t="n"/>
    </row>
    <row r="7" ht="16" customHeight="1">
      <c r="A7" s="1" t="n"/>
      <c r="B7" s="1" t="n"/>
      <c r="C7" s="9" t="n"/>
      <c r="D7" s="16">
        <f>SUMPRODUCT(((Übersicht!$A$11="Alle Gesellschaften")+(RE[Gesellschaft]=Übersicht!$A$11))*((Übersicht!$A$13="Alle Kategorien")+(RE[Kategorie]=Übersicht!$A$13))*((Übersicht!$A$15="Alle Lieferanten")+(RE[Lieferant]=Übersicht!$A$15))*RE[Brutto])</f>
        <v/>
      </c>
      <c r="G7" s="9" t="n"/>
      <c r="H7" s="17">
        <f>SUMPRODUCT(((Übersicht!$A$11="Alle Gesellschaften")+(RE[Gesellschaft]=Übersicht!$A$11))*((Übersicht!$A$13="Alle Kategorien")+(RE[Kategorie]=Übersicht!$A$13))*((Übersicht!$A$15="Alle Lieferanten")+(RE[Lieferant]=Übersicht!$A$15))*((RE[Status]&lt;&gt;"Bezahlt")*(1-((RE[Status]&lt;&gt;"Bezahlt")*(RE[Faelligkeit]&lt;&gt;"")*(RE[Faelligkeit]&lt;TODAY()))))*RE[Brutto])</f>
        <v/>
      </c>
      <c r="K7" s="9" t="n"/>
      <c r="L7" s="18">
        <f>SUMPRODUCT(((Übersicht!$A$11="Alle Gesellschaften")+(RE[Gesellschaft]=Übersicht!$A$11))*((Übersicht!$A$13="Alle Kategorien")+(RE[Kategorie]=Übersicht!$A$13))*((Übersicht!$A$15="Alle Lieferanten")+(RE[Lieferant]=Übersicht!$A$15))*((RE[Status]&lt;&gt;"Bezahlt")*(RE[Faelligkeit]&lt;&gt;"")*(RE[Faelligkeit]&lt;TODAY()))*RE[Brutto])</f>
        <v/>
      </c>
      <c r="O7" s="9" t="n"/>
      <c r="P7" s="19">
        <f>SUMPRODUCT(((Übersicht!$A$11="Alle Gesellschaften")+(RE[Gesellschaft]=Übersicht!$A$11))*((Übersicht!$A$13="Alle Kategorien")+(RE[Kategorie]=Übersicht!$A$13))*((Übersicht!$A$15="Alle Lieferanten")+(RE[Lieferant]=Übersicht!$A$15))*(RE[Status]="Bezahlt")*RE[Brutto])</f>
        <v/>
      </c>
      <c r="S7" s="9" t="n"/>
      <c r="T7" s="9" t="n"/>
    </row>
    <row r="8" ht="22" customHeight="1">
      <c r="A8" s="1" t="n"/>
      <c r="B8" s="1" t="n"/>
      <c r="C8" s="9" t="n"/>
      <c r="G8" s="9" t="n"/>
      <c r="K8" s="9" t="n"/>
      <c r="O8" s="9" t="n"/>
      <c r="S8" s="9" t="n"/>
      <c r="T8" s="9" t="n"/>
    </row>
    <row r="9" ht="16" customHeight="1">
      <c r="A9" s="20" t="inlineStr">
        <is>
          <t>FILTER</t>
        </is>
      </c>
      <c r="C9" s="9" t="n"/>
      <c r="G9" s="9" t="n"/>
      <c r="K9" s="9" t="n"/>
      <c r="O9" s="9" t="n"/>
      <c r="S9" s="9" t="n"/>
      <c r="T9" s="9" t="n"/>
    </row>
    <row r="10" ht="15" customHeight="1">
      <c r="A10" s="21" t="inlineStr">
        <is>
          <t>Gesellschaft</t>
        </is>
      </c>
      <c r="C10" s="9" t="n"/>
      <c r="D10" s="9" t="n"/>
      <c r="E10" s="9" t="n"/>
      <c r="F10" s="9" t="n"/>
      <c r="G10" s="9" t="n"/>
      <c r="H10" s="9" t="n"/>
      <c r="I10" s="9" t="n"/>
      <c r="J10" s="9" t="n"/>
      <c r="K10" s="9" t="n"/>
      <c r="L10" s="9" t="n"/>
      <c r="M10" s="9" t="n"/>
      <c r="N10" s="9" t="n"/>
      <c r="O10" s="9" t="n"/>
      <c r="P10" s="9" t="n"/>
      <c r="Q10" s="9" t="n"/>
      <c r="R10" s="9" t="n"/>
      <c r="S10" s="9" t="n"/>
      <c r="T10" s="9" t="n"/>
    </row>
    <row r="11" ht="24" customHeight="1">
      <c r="A11" s="40" t="inlineStr">
        <is>
          <t>Alle Gesellschaften</t>
        </is>
      </c>
      <c r="B11" s="41" t="n"/>
      <c r="C11" s="9" t="n"/>
      <c r="D11" s="24">
        <f>"⚠  Überfällige Rechnungen  ("&amp;SUMPRODUCT(((RE[Status]&lt;&gt;"Bezahlt")*(RE[Faelligkeit]&lt;&gt;"")*(RE[Faelligkeit]&lt;TODAY()))*1)&amp;")   ·   "&amp;TEXT(SUMPRODUCT(((RE[Status]&lt;&gt;"Bezahlt")*(RE[Faelligkeit]&lt;&gt;"")*(RE[Faelligkeit]&lt;TODAY()))*RE[Brutto]),"#,##0 €")</f>
        <v/>
      </c>
      <c r="S11" s="9" t="n"/>
      <c r="T11" s="9" t="n"/>
    </row>
    <row r="12" ht="16" customHeight="1">
      <c r="A12" s="21" t="inlineStr">
        <is>
          <t>Kategorie</t>
        </is>
      </c>
      <c r="C12" s="9" t="n"/>
      <c r="D12" s="14">
        <f>IFERROR(INDEX(RE[Lieferant],_Daten!$S$1)&amp;"      "&amp;TEXT(INDEX(RE[Brutto],_Daten!$S$1),"#,##0 €")&amp;"      fällig "&amp;TEXT(INDEX(RE[Faelligkeit],_Daten!$S$1),"DD.MM.")&amp;"      ("&amp;(TODAY()-INDEX(RE[Faelligkeit],_Daten!$S$1))&amp;" Tage)","")</f>
        <v/>
      </c>
      <c r="S12" s="9" t="n"/>
      <c r="T12" s="9" t="n"/>
    </row>
    <row r="13" ht="16" customHeight="1">
      <c r="A13" s="40" t="inlineStr">
        <is>
          <t>Alle Kategorien</t>
        </is>
      </c>
      <c r="B13" s="41" t="n"/>
      <c r="C13" s="9" t="n"/>
      <c r="D13" s="14">
        <f>IFERROR(INDEX(RE[Lieferant],_Daten!$S$2)&amp;"      "&amp;TEXT(INDEX(RE[Brutto],_Daten!$S$2),"#,##0 €")&amp;"      fällig "&amp;TEXT(INDEX(RE[Faelligkeit],_Daten!$S$2),"DD.MM.")&amp;"      ("&amp;(TODAY()-INDEX(RE[Faelligkeit],_Daten!$S$2))&amp;" Tage)","")</f>
        <v/>
      </c>
      <c r="S13" s="9" t="n"/>
      <c r="T13" s="9" t="n"/>
    </row>
    <row r="14" ht="16" customHeight="1">
      <c r="A14" s="21" t="inlineStr">
        <is>
          <t>Lieferant</t>
        </is>
      </c>
      <c r="C14" s="9" t="n"/>
      <c r="D14" s="14">
        <f>IFERROR(INDEX(RE[Lieferant],_Daten!$S$3)&amp;"      "&amp;TEXT(INDEX(RE[Brutto],_Daten!$S$3),"#,##0 €")&amp;"      fällig "&amp;TEXT(INDEX(RE[Faelligkeit],_Daten!$S$3),"DD.MM.")&amp;"      ("&amp;(TODAY()-INDEX(RE[Faelligkeit],_Daten!$S$3))&amp;" Tage)","")</f>
        <v/>
      </c>
      <c r="S14" s="9" t="n"/>
      <c r="T14" s="9" t="n"/>
    </row>
    <row r="15" ht="16" customHeight="1">
      <c r="A15" s="40" t="inlineStr">
        <is>
          <t>Alle Lieferanten</t>
        </is>
      </c>
      <c r="B15" s="41" t="n"/>
      <c r="C15" s="9" t="n"/>
      <c r="D15" s="14">
        <f>IFERROR(INDEX(RE[Lieferant],_Daten!$S$4)&amp;"      "&amp;TEXT(INDEX(RE[Brutto],_Daten!$S$4),"#,##0 €")&amp;"      fällig "&amp;TEXT(INDEX(RE[Faelligkeit],_Daten!$S$4),"DD.MM.")&amp;"      ("&amp;(TODAY()-INDEX(RE[Faelligkeit],_Daten!$S$4))&amp;" Tage)","")</f>
        <v/>
      </c>
      <c r="S15" s="9" t="n"/>
      <c r="T15" s="9" t="n"/>
    </row>
    <row r="16" ht="16" customHeight="1">
      <c r="A16" s="1" t="n"/>
      <c r="B16" s="1" t="n"/>
      <c r="C16" s="9" t="n"/>
      <c r="D16" s="14">
        <f>IFERROR(INDEX(RE[Lieferant],_Daten!$S$5)&amp;"      "&amp;TEXT(INDEX(RE[Brutto],_Daten!$S$5),"#,##0 €")&amp;"      fällig "&amp;TEXT(INDEX(RE[Faelligkeit],_Daten!$S$5),"DD.MM.")&amp;"      ("&amp;(TODAY()-INDEX(RE[Faelligkeit],_Daten!$S$5))&amp;" Tage)","")</f>
        <v/>
      </c>
      <c r="S16" s="9" t="n"/>
      <c r="T16" s="9" t="n"/>
    </row>
    <row r="17" ht="16" customHeight="1">
      <c r="A17" s="21">
        <f>" Stand: "&amp;TEXT(DAY(TODAY()),"00")&amp;"."&amp;TEXT(MONTH(TODAY()),"00")&amp;"."&amp;YEAR(TODAY())</f>
        <v/>
      </c>
      <c r="C17" s="9" t="n"/>
      <c r="D17" s="14">
        <f>IFERROR(INDEX(RE[Lieferant],_Daten!$S$6)&amp;"      "&amp;TEXT(INDEX(RE[Brutto],_Daten!$S$6),"#,##0 €")&amp;"      fällig "&amp;TEXT(INDEX(RE[Faelligkeit],_Daten!$S$6),"DD.MM.")&amp;"      ("&amp;(TODAY()-INDEX(RE[Faelligkeit],_Daten!$S$6))&amp;" Tage)","")</f>
        <v/>
      </c>
      <c r="S17" s="9" t="n"/>
      <c r="T17" s="9" t="n"/>
    </row>
    <row r="18" ht="16" customHeight="1">
      <c r="A18" s="1" t="n"/>
      <c r="B18" s="1" t="n"/>
      <c r="C18" s="9" t="n"/>
      <c r="D18" s="14">
        <f>IFERROR(INDEX(RE[Lieferant],_Daten!$S$7)&amp;"      "&amp;TEXT(INDEX(RE[Brutto],_Daten!$S$7),"#,##0 €")&amp;"      fällig "&amp;TEXT(INDEX(RE[Faelligkeit],_Daten!$S$7),"DD.MM.")&amp;"      ("&amp;(TODAY()-INDEX(RE[Faelligkeit],_Daten!$S$7))&amp;" Tage)","")</f>
        <v/>
      </c>
      <c r="S18" s="9" t="n"/>
      <c r="T18" s="9" t="n"/>
    </row>
    <row r="19" ht="15" customHeight="1">
      <c r="A19" s="1" t="n"/>
      <c r="B19" s="1" t="n"/>
      <c r="C19" s="9" t="n"/>
      <c r="D19" s="25">
        <f>IF(SUMPRODUCT(((RE[Status]&lt;&gt;"Bezahlt")*(RE[Faelligkeit]&lt;&gt;"")*(RE[Faelligkeit]&lt;TODAY()))*1)&gt;7,"+ "&amp;(SUMPRODUCT(((RE[Status]&lt;&gt;"Bezahlt")*(RE[Faelligkeit]&lt;&gt;"")*(RE[Faelligkeit]&lt;TODAY()))*1)-7)&amp;" weitere überfällige Rechnungen","")</f>
        <v/>
      </c>
      <c r="S19" s="9" t="n"/>
      <c r="T19" s="9" t="n"/>
    </row>
    <row r="20" ht="6" customHeight="1">
      <c r="A20" s="1" t="n"/>
      <c r="B20" s="1" t="n"/>
      <c r="C20" s="9" t="n"/>
      <c r="D20" s="26" t="n"/>
      <c r="E20" s="26" t="n"/>
      <c r="F20" s="26" t="n"/>
      <c r="G20" s="26" t="n"/>
      <c r="H20" s="26" t="n"/>
      <c r="I20" s="26" t="n"/>
      <c r="J20" s="26" t="n"/>
      <c r="K20" s="26" t="n"/>
      <c r="L20" s="26" t="n"/>
      <c r="M20" s="26" t="n"/>
      <c r="N20" s="26" t="n"/>
      <c r="O20" s="26" t="n"/>
      <c r="P20" s="26" t="n"/>
      <c r="Q20" s="26" t="n"/>
      <c r="R20" s="26" t="n"/>
      <c r="S20" s="9" t="n"/>
      <c r="T20" s="9" t="n"/>
    </row>
    <row r="21">
      <c r="A21" s="1" t="n"/>
      <c r="B21" s="1" t="n"/>
      <c r="C21" s="9" t="n"/>
      <c r="D21" s="9" t="n"/>
      <c r="E21" s="9" t="n"/>
      <c r="F21" s="9" t="n"/>
      <c r="G21" s="9" t="n"/>
      <c r="H21" s="9" t="n"/>
      <c r="I21" s="9" t="n"/>
      <c r="J21" s="9" t="n"/>
      <c r="K21" s="9" t="n"/>
      <c r="L21" s="9" t="n"/>
      <c r="M21" s="9" t="n"/>
      <c r="N21" s="9" t="n"/>
      <c r="O21" s="9" t="n"/>
      <c r="P21" s="9" t="n"/>
      <c r="Q21" s="9" t="n"/>
      <c r="R21" s="9" t="n"/>
      <c r="S21" s="9" t="n"/>
      <c r="T21" s="9" t="n"/>
    </row>
    <row r="22" ht="20" customHeight="1">
      <c r="A22" s="1" t="n"/>
      <c r="B22" s="1" t="n"/>
      <c r="C22" s="9" t="n"/>
      <c r="D22" s="27" t="inlineStr">
        <is>
          <t>Freigabe-Status (offene Rechnungen)</t>
        </is>
      </c>
      <c r="S22" s="9" t="n"/>
      <c r="T22" s="9" t="n"/>
    </row>
    <row r="23" ht="16" customHeight="1">
      <c r="A23" s="1" t="n"/>
      <c r="B23" s="1" t="n"/>
      <c r="C23" s="9" t="n"/>
      <c r="D23" s="28" t="inlineStr">
        <is>
          <t>1 · Sachlich</t>
        </is>
      </c>
      <c r="E23" s="29" t="n"/>
      <c r="F23" s="29" t="n"/>
      <c r="G23" s="30" t="n"/>
      <c r="H23" s="9" t="n"/>
      <c r="I23" s="28" t="inlineStr">
        <is>
          <t>2 · Rechnerisch</t>
        </is>
      </c>
      <c r="J23" s="29" t="n"/>
      <c r="K23" s="29" t="n"/>
      <c r="L23" s="30" t="n"/>
      <c r="M23" s="9" t="n"/>
      <c r="N23" s="28" t="inlineStr">
        <is>
          <t>3 · Jürgen-Freigabe</t>
        </is>
      </c>
      <c r="O23" s="29" t="n"/>
      <c r="P23" s="29" t="n"/>
      <c r="Q23" s="30" t="n"/>
      <c r="R23" s="9" t="n"/>
      <c r="S23" s="9" t="n"/>
      <c r="T23" s="9" t="n"/>
    </row>
    <row r="24">
      <c r="A24" s="1" t="n"/>
      <c r="B24" s="1" t="n"/>
      <c r="C24" s="9" t="n"/>
      <c r="D24" s="31">
        <f>SUMPRODUCT(((Übersicht!$A$11="Alle Gesellschaften")+(RE[Gesellschaft]=Übersicht!$A$11))*((Übersicht!$A$13="Alle Kategorien")+(RE[Kategorie]=Übersicht!$A$13))*((Übersicht!$A$15="Alle Lieferanten")+(RE[Lieferant]=Übersicht!$A$15))*(RE[Status]&lt;&gt;"Bezahlt")*(RE[Sachlich]="x"))&amp;" / "&amp;SUMPRODUCT(((Übersicht!$A$11="Alle Gesellschaften")+(RE[Gesellschaft]=Übersicht!$A$11))*((Übersicht!$A$13="Alle Kategorien")+(RE[Kategorie]=Übersicht!$A$13))*((Übersicht!$A$15="Alle Lieferanten")+(RE[Lieferant]=Übersicht!$A$15))*(RE[Status]&lt;&gt;"Bezahlt"))</f>
        <v/>
      </c>
      <c r="G24" s="32" t="n"/>
      <c r="H24" s="9" t="n"/>
      <c r="I24" s="31">
        <f>SUMPRODUCT(((Übersicht!$A$11="Alle Gesellschaften")+(RE[Gesellschaft]=Übersicht!$A$11))*((Übersicht!$A$13="Alle Kategorien")+(RE[Kategorie]=Übersicht!$A$13))*((Übersicht!$A$15="Alle Lieferanten")+(RE[Lieferant]=Übersicht!$A$15))*(RE[Status]&lt;&gt;"Bezahlt")*(RE[Rechnerisch]="x"))&amp;" / "&amp;SUMPRODUCT(((Übersicht!$A$11="Alle Gesellschaften")+(RE[Gesellschaft]=Übersicht!$A$11))*((Übersicht!$A$13="Alle Kategorien")+(RE[Kategorie]=Übersicht!$A$13))*((Übersicht!$A$15="Alle Lieferanten")+(RE[Lieferant]=Übersicht!$A$15))*(RE[Status]&lt;&gt;"Bezahlt"))</f>
        <v/>
      </c>
      <c r="L24" s="32" t="n"/>
      <c r="M24" s="9" t="n"/>
      <c r="N24" s="31">
        <f>SUMPRODUCT(((Übersicht!$A$11="Alle Gesellschaften")+(RE[Gesellschaft]=Übersicht!$A$11))*((Übersicht!$A$13="Alle Kategorien")+(RE[Kategorie]=Übersicht!$A$13))*((Übersicht!$A$15="Alle Lieferanten")+(RE[Lieferant]=Übersicht!$A$15))*(RE[Status]&lt;&gt;"Bezahlt")*(RE[Juergen]="x"))&amp;" / "&amp;SUMPRODUCT(((Übersicht!$A$11="Alle Gesellschaften")+(RE[Gesellschaft]=Übersicht!$A$11))*((Übersicht!$A$13="Alle Kategorien")+(RE[Kategorie]=Übersicht!$A$13))*((Übersicht!$A$15="Alle Lieferanten")+(RE[Lieferant]=Übersicht!$A$15))*(RE[Status]&lt;&gt;"Bezahlt"))</f>
        <v/>
      </c>
      <c r="Q24" s="32" t="n"/>
      <c r="R24" s="9" t="n"/>
      <c r="S24" s="9" t="n"/>
      <c r="T24" s="9" t="n"/>
    </row>
    <row r="25">
      <c r="A25" s="1" t="n"/>
      <c r="B25" s="1" t="n"/>
      <c r="C25" s="9" t="n"/>
      <c r="D25" s="33" t="n"/>
      <c r="E25" s="34" t="n"/>
      <c r="F25" s="34" t="n"/>
      <c r="G25" s="35" t="n"/>
      <c r="H25" s="9" t="n"/>
      <c r="I25" s="33" t="n"/>
      <c r="J25" s="34" t="n"/>
      <c r="K25" s="34" t="n"/>
      <c r="L25" s="35" t="n"/>
      <c r="M25" s="9" t="n"/>
      <c r="N25" s="33" t="n"/>
      <c r="O25" s="34" t="n"/>
      <c r="P25" s="34" t="n"/>
      <c r="Q25" s="35" t="n"/>
      <c r="R25" s="9" t="n"/>
      <c r="S25" s="9" t="n"/>
      <c r="T25" s="9" t="n"/>
    </row>
    <row r="26">
      <c r="A26" s="1" t="n"/>
      <c r="B26" s="1" t="n"/>
      <c r="C26" s="9" t="n"/>
      <c r="D26" s="9" t="n"/>
      <c r="E26" s="9" t="n"/>
      <c r="F26" s="9" t="n"/>
      <c r="G26" s="9" t="n"/>
      <c r="H26" s="9" t="n"/>
      <c r="I26" s="9" t="n"/>
      <c r="J26" s="9" t="n"/>
      <c r="K26" s="9" t="n"/>
      <c r="L26" s="9" t="n"/>
      <c r="M26" s="9" t="n"/>
      <c r="N26" s="9" t="n"/>
      <c r="O26" s="9" t="n"/>
      <c r="P26" s="9" t="n"/>
      <c r="Q26" s="9" t="n"/>
      <c r="R26" s="9" t="n"/>
      <c r="S26" s="9" t="n"/>
      <c r="T26" s="9" t="n"/>
    </row>
    <row r="27">
      <c r="A27" s="1" t="n"/>
      <c r="B27" s="1" t="n"/>
      <c r="C27" s="9" t="n"/>
      <c r="D27" s="9" t="n"/>
      <c r="E27" s="9" t="n"/>
      <c r="F27" s="9" t="n"/>
      <c r="G27" s="9" t="n"/>
      <c r="H27" s="9" t="n"/>
      <c r="I27" s="9" t="n"/>
      <c r="J27" s="9" t="n"/>
      <c r="K27" s="9" t="n"/>
      <c r="L27" s="9" t="n"/>
      <c r="M27" s="9" t="n"/>
      <c r="N27" s="9" t="n"/>
      <c r="O27" s="9" t="n"/>
      <c r="P27" s="9" t="n"/>
      <c r="Q27" s="9" t="n"/>
      <c r="R27" s="9" t="n"/>
      <c r="S27" s="9" t="n"/>
      <c r="T27" s="9" t="n"/>
    </row>
    <row r="28">
      <c r="A28" s="1" t="n"/>
      <c r="B28" s="1" t="n"/>
      <c r="C28" s="9" t="n"/>
      <c r="D28" s="9" t="n"/>
      <c r="E28" s="9" t="n"/>
      <c r="F28" s="9" t="n"/>
      <c r="G28" s="9" t="n"/>
      <c r="H28" s="9" t="n"/>
      <c r="I28" s="9" t="n"/>
      <c r="J28" s="9" t="n"/>
      <c r="K28" s="9" t="n"/>
      <c r="L28" s="9" t="n"/>
      <c r="M28" s="9" t="n"/>
      <c r="N28" s="9" t="n"/>
      <c r="O28" s="9" t="n"/>
      <c r="P28" s="9" t="n"/>
      <c r="Q28" s="9" t="n"/>
      <c r="R28" s="9" t="n"/>
      <c r="S28" s="9" t="n"/>
      <c r="T28" s="9" t="n"/>
    </row>
    <row r="29">
      <c r="A29" s="1" t="n"/>
      <c r="B29" s="1" t="n"/>
      <c r="C29" s="9" t="n"/>
      <c r="D29" s="9" t="n"/>
      <c r="E29" s="9" t="n"/>
      <c r="F29" s="9" t="n"/>
      <c r="G29" s="9" t="n"/>
      <c r="H29" s="9" t="n"/>
      <c r="I29" s="9" t="n"/>
      <c r="J29" s="9" t="n"/>
      <c r="K29" s="9" t="n"/>
      <c r="L29" s="9" t="n"/>
      <c r="M29" s="9" t="n"/>
      <c r="N29" s="9" t="n"/>
      <c r="O29" s="9" t="n"/>
      <c r="P29" s="9" t="n"/>
      <c r="Q29" s="9" t="n"/>
      <c r="R29" s="9" t="n"/>
      <c r="S29" s="9" t="n"/>
      <c r="T29" s="9" t="n"/>
    </row>
    <row r="30">
      <c r="A30" s="1" t="n"/>
      <c r="B30" s="1" t="n"/>
      <c r="C30" s="9" t="n"/>
      <c r="D30" s="9" t="n"/>
      <c r="E30" s="9" t="n"/>
      <c r="F30" s="9" t="n"/>
      <c r="G30" s="9" t="n"/>
      <c r="H30" s="9" t="n"/>
      <c r="I30" s="9" t="n"/>
      <c r="J30" s="9" t="n"/>
      <c r="K30" s="9" t="n"/>
      <c r="L30" s="9" t="n"/>
      <c r="M30" s="9" t="n"/>
      <c r="N30" s="9" t="n"/>
      <c r="O30" s="9" t="n"/>
      <c r="P30" s="9" t="n"/>
      <c r="Q30" s="9" t="n"/>
      <c r="R30" s="9" t="n"/>
      <c r="S30" s="9" t="n"/>
      <c r="T30" s="9" t="n"/>
    </row>
    <row r="31">
      <c r="A31" s="1" t="n"/>
      <c r="B31" s="1" t="n"/>
      <c r="C31" s="9" t="n"/>
      <c r="D31" s="9" t="n"/>
      <c r="E31" s="9" t="n"/>
      <c r="F31" s="9" t="n"/>
      <c r="G31" s="9" t="n"/>
      <c r="H31" s="9" t="n"/>
      <c r="I31" s="9" t="n"/>
      <c r="J31" s="9" t="n"/>
      <c r="K31" s="9" t="n"/>
      <c r="L31" s="9" t="n"/>
      <c r="M31" s="9" t="n"/>
      <c r="N31" s="9" t="n"/>
      <c r="O31" s="9" t="n"/>
      <c r="P31" s="9" t="n"/>
      <c r="Q31" s="9" t="n"/>
      <c r="R31" s="9" t="n"/>
      <c r="S31" s="9" t="n"/>
      <c r="T31" s="9" t="n"/>
    </row>
    <row r="32">
      <c r="A32" s="1" t="n"/>
      <c r="B32" s="1" t="n"/>
      <c r="C32" s="9" t="n"/>
      <c r="D32" s="9" t="n"/>
      <c r="E32" s="9" t="n"/>
      <c r="F32" s="9" t="n"/>
      <c r="G32" s="9" t="n"/>
      <c r="H32" s="9" t="n"/>
      <c r="I32" s="9" t="n"/>
      <c r="J32" s="9" t="n"/>
      <c r="K32" s="9" t="n"/>
      <c r="L32" s="9" t="n"/>
      <c r="M32" s="9" t="n"/>
      <c r="N32" s="9" t="n"/>
      <c r="O32" s="9" t="n"/>
      <c r="P32" s="9" t="n"/>
      <c r="Q32" s="9" t="n"/>
      <c r="R32" s="9" t="n"/>
      <c r="S32" s="9" t="n"/>
      <c r="T32" s="9" t="n"/>
    </row>
    <row r="33">
      <c r="A33" s="1" t="n"/>
      <c r="B33" s="1" t="n"/>
      <c r="C33" s="9" t="n"/>
      <c r="D33" s="9" t="n"/>
      <c r="E33" s="9" t="n"/>
      <c r="F33" s="9" t="n"/>
      <c r="G33" s="9" t="n"/>
      <c r="H33" s="9" t="n"/>
      <c r="I33" s="9" t="n"/>
      <c r="J33" s="9" t="n"/>
      <c r="K33" s="9" t="n"/>
      <c r="L33" s="9" t="n"/>
      <c r="M33" s="9" t="n"/>
      <c r="N33" s="9" t="n"/>
      <c r="O33" s="9" t="n"/>
      <c r="P33" s="9" t="n"/>
      <c r="Q33" s="9" t="n"/>
      <c r="R33" s="9" t="n"/>
      <c r="S33" s="9" t="n"/>
      <c r="T33" s="9" t="n"/>
    </row>
    <row r="34">
      <c r="A34" s="1" t="n"/>
      <c r="B34" s="1" t="n"/>
      <c r="C34" s="9" t="n"/>
      <c r="D34" s="9" t="n"/>
      <c r="E34" s="9" t="n"/>
      <c r="F34" s="9" t="n"/>
      <c r="G34" s="9" t="n"/>
      <c r="H34" s="9" t="n"/>
      <c r="I34" s="9" t="n"/>
      <c r="J34" s="9" t="n"/>
      <c r="K34" s="9" t="n"/>
      <c r="L34" s="9" t="n"/>
      <c r="M34" s="9" t="n"/>
      <c r="N34" s="9" t="n"/>
      <c r="O34" s="9" t="n"/>
      <c r="P34" s="9" t="n"/>
      <c r="Q34" s="9" t="n"/>
      <c r="R34" s="9" t="n"/>
      <c r="S34" s="9" t="n"/>
      <c r="T34" s="9" t="n"/>
    </row>
    <row r="35">
      <c r="A35" s="1" t="n"/>
      <c r="B35" s="1" t="n"/>
      <c r="C35" s="9" t="n"/>
      <c r="D35" s="9" t="n"/>
      <c r="E35" s="9" t="n"/>
      <c r="F35" s="9" t="n"/>
      <c r="G35" s="9" t="n"/>
      <c r="H35" s="9" t="n"/>
      <c r="I35" s="9" t="n"/>
      <c r="J35" s="9" t="n"/>
      <c r="K35" s="9" t="n"/>
      <c r="L35" s="9" t="n"/>
      <c r="M35" s="9" t="n"/>
      <c r="N35" s="9" t="n"/>
      <c r="O35" s="9" t="n"/>
      <c r="P35" s="9" t="n"/>
      <c r="Q35" s="9" t="n"/>
      <c r="R35" s="9" t="n"/>
      <c r="S35" s="9" t="n"/>
      <c r="T35" s="9" t="n"/>
    </row>
    <row r="36">
      <c r="A36" s="1" t="n"/>
      <c r="B36" s="1" t="n"/>
      <c r="C36" s="9" t="n"/>
      <c r="D36" s="9" t="n"/>
      <c r="E36" s="9" t="n"/>
      <c r="F36" s="9" t="n"/>
      <c r="G36" s="9" t="n"/>
      <c r="H36" s="9" t="n"/>
      <c r="I36" s="9" t="n"/>
      <c r="J36" s="9" t="n"/>
      <c r="K36" s="9" t="n"/>
      <c r="L36" s="9" t="n"/>
      <c r="M36" s="9" t="n"/>
      <c r="N36" s="9" t="n"/>
      <c r="O36" s="9" t="n"/>
      <c r="P36" s="9" t="n"/>
      <c r="Q36" s="9" t="n"/>
      <c r="R36" s="9" t="n"/>
      <c r="S36" s="9" t="n"/>
      <c r="T36" s="9" t="n"/>
    </row>
    <row r="37">
      <c r="A37" s="1" t="n"/>
      <c r="B37" s="1" t="n"/>
      <c r="C37" s="9" t="n"/>
      <c r="D37" s="9" t="n"/>
      <c r="E37" s="9" t="n"/>
      <c r="F37" s="9" t="n"/>
      <c r="G37" s="9" t="n"/>
      <c r="H37" s="9" t="n"/>
      <c r="I37" s="9" t="n"/>
      <c r="J37" s="9" t="n"/>
      <c r="K37" s="9" t="n"/>
      <c r="L37" s="9" t="n"/>
      <c r="M37" s="9" t="n"/>
      <c r="N37" s="9" t="n"/>
      <c r="O37" s="9" t="n"/>
      <c r="P37" s="9" t="n"/>
      <c r="Q37" s="9" t="n"/>
      <c r="R37" s="9" t="n"/>
      <c r="S37" s="9" t="n"/>
      <c r="T37" s="9" t="n"/>
    </row>
    <row r="38">
      <c r="A38" s="1" t="n"/>
      <c r="B38" s="1" t="n"/>
      <c r="C38" s="9" t="n"/>
      <c r="D38" s="9" t="n"/>
      <c r="E38" s="9" t="n"/>
      <c r="F38" s="9" t="n"/>
      <c r="G38" s="9" t="n"/>
      <c r="H38" s="9" t="n"/>
      <c r="I38" s="9" t="n"/>
      <c r="J38" s="9" t="n"/>
      <c r="K38" s="9" t="n"/>
      <c r="L38" s="9" t="n"/>
      <c r="M38" s="9" t="n"/>
      <c r="N38" s="9" t="n"/>
      <c r="O38" s="9" t="n"/>
      <c r="P38" s="9" t="n"/>
      <c r="Q38" s="9" t="n"/>
      <c r="R38" s="9" t="n"/>
      <c r="S38" s="9" t="n"/>
      <c r="T38" s="9" t="n"/>
    </row>
    <row r="39">
      <c r="A39" s="1" t="n"/>
      <c r="B39" s="1" t="n"/>
      <c r="C39" s="9" t="n"/>
      <c r="D39" s="9" t="n"/>
      <c r="E39" s="9" t="n"/>
      <c r="F39" s="9" t="n"/>
      <c r="G39" s="9" t="n"/>
      <c r="H39" s="9" t="n"/>
      <c r="I39" s="9" t="n"/>
      <c r="J39" s="9" t="n"/>
      <c r="K39" s="9" t="n"/>
      <c r="L39" s="9" t="n"/>
      <c r="M39" s="9" t="n"/>
      <c r="N39" s="9" t="n"/>
      <c r="O39" s="9" t="n"/>
      <c r="P39" s="9" t="n"/>
      <c r="Q39" s="9" t="n"/>
      <c r="R39" s="9" t="n"/>
      <c r="S39" s="9" t="n"/>
      <c r="T39" s="9" t="n"/>
    </row>
    <row r="40">
      <c r="A40" s="1" t="n"/>
      <c r="B40" s="1" t="n"/>
      <c r="C40" s="9" t="n"/>
      <c r="D40" s="9" t="n"/>
      <c r="E40" s="9" t="n"/>
      <c r="F40" s="9" t="n"/>
      <c r="G40" s="9" t="n"/>
      <c r="H40" s="9" t="n"/>
      <c r="I40" s="9" t="n"/>
      <c r="J40" s="9" t="n"/>
      <c r="K40" s="9" t="n"/>
      <c r="L40" s="9" t="n"/>
      <c r="M40" s="9" t="n"/>
      <c r="N40" s="9" t="n"/>
      <c r="O40" s="9" t="n"/>
      <c r="P40" s="9" t="n"/>
      <c r="Q40" s="9" t="n"/>
      <c r="R40" s="9" t="n"/>
      <c r="S40" s="9" t="n"/>
      <c r="T40" s="9" t="n"/>
    </row>
    <row r="41">
      <c r="A41" s="1" t="n"/>
      <c r="B41" s="1" t="n"/>
      <c r="C41" s="9" t="n"/>
      <c r="D41" s="9" t="n"/>
      <c r="E41" s="9" t="n"/>
      <c r="F41" s="9" t="n"/>
      <c r="G41" s="9" t="n"/>
      <c r="H41" s="9" t="n"/>
      <c r="I41" s="9" t="n"/>
      <c r="J41" s="9" t="n"/>
      <c r="K41" s="9" t="n"/>
      <c r="L41" s="9" t="n"/>
      <c r="M41" s="9" t="n"/>
      <c r="N41" s="9" t="n"/>
      <c r="O41" s="9" t="n"/>
      <c r="P41" s="9" t="n"/>
      <c r="Q41" s="9" t="n"/>
      <c r="R41" s="9" t="n"/>
      <c r="S41" s="9" t="n"/>
      <c r="T41" s="9" t="n"/>
    </row>
    <row r="42">
      <c r="A42" s="1" t="n"/>
      <c r="B42" s="1" t="n"/>
      <c r="C42" s="9" t="n"/>
      <c r="D42" s="9" t="n"/>
      <c r="E42" s="9" t="n"/>
      <c r="F42" s="9" t="n"/>
      <c r="G42" s="9" t="n"/>
      <c r="H42" s="9" t="n"/>
      <c r="I42" s="9" t="n"/>
      <c r="J42" s="9" t="n"/>
      <c r="K42" s="9" t="n"/>
      <c r="L42" s="9" t="n"/>
      <c r="M42" s="9" t="n"/>
      <c r="N42" s="9" t="n"/>
      <c r="O42" s="9" t="n"/>
      <c r="P42" s="9" t="n"/>
      <c r="Q42" s="9" t="n"/>
      <c r="R42" s="9" t="n"/>
      <c r="S42" s="9" t="n"/>
      <c r="T42" s="9" t="n"/>
    </row>
    <row r="43">
      <c r="A43" s="1" t="n"/>
      <c r="B43" s="1" t="n"/>
      <c r="C43" s="9" t="n"/>
      <c r="D43" s="9" t="n"/>
      <c r="E43" s="9" t="n"/>
      <c r="F43" s="9" t="n"/>
      <c r="G43" s="9" t="n"/>
      <c r="H43" s="9" t="n"/>
      <c r="I43" s="9" t="n"/>
      <c r="J43" s="9" t="n"/>
      <c r="K43" s="9" t="n"/>
      <c r="L43" s="9" t="n"/>
      <c r="M43" s="9" t="n"/>
      <c r="N43" s="9" t="n"/>
      <c r="O43" s="9" t="n"/>
      <c r="P43" s="9" t="n"/>
      <c r="Q43" s="9" t="n"/>
      <c r="R43" s="9" t="n"/>
      <c r="S43" s="9" t="n"/>
      <c r="T43" s="9" t="n"/>
    </row>
    <row r="44">
      <c r="A44" s="1" t="n"/>
      <c r="B44" s="1" t="n"/>
      <c r="C44" s="9" t="n"/>
      <c r="D44" s="9" t="n"/>
      <c r="E44" s="9" t="n"/>
      <c r="F44" s="9" t="n"/>
      <c r="G44" s="9" t="n"/>
      <c r="H44" s="9" t="n"/>
      <c r="I44" s="9" t="n"/>
      <c r="J44" s="9" t="n"/>
      <c r="K44" s="9" t="n"/>
      <c r="L44" s="9" t="n"/>
      <c r="M44" s="9" t="n"/>
      <c r="N44" s="9" t="n"/>
      <c r="O44" s="9" t="n"/>
      <c r="P44" s="9" t="n"/>
      <c r="Q44" s="9" t="n"/>
      <c r="R44" s="9" t="n"/>
      <c r="S44" s="9" t="n"/>
      <c r="T44" s="9" t="n"/>
    </row>
    <row r="45">
      <c r="A45" s="1" t="n"/>
      <c r="B45" s="1" t="n"/>
      <c r="C45" s="9" t="n"/>
      <c r="D45" s="9" t="n"/>
      <c r="E45" s="9" t="n"/>
      <c r="F45" s="9" t="n"/>
      <c r="G45" s="9" t="n"/>
      <c r="H45" s="9" t="n"/>
      <c r="I45" s="9" t="n"/>
      <c r="J45" s="9" t="n"/>
      <c r="K45" s="9" t="n"/>
      <c r="L45" s="9" t="n"/>
      <c r="M45" s="9" t="n"/>
      <c r="N45" s="9" t="n"/>
      <c r="O45" s="9" t="n"/>
      <c r="P45" s="9" t="n"/>
      <c r="Q45" s="9" t="n"/>
      <c r="R45" s="9" t="n"/>
      <c r="S45" s="9" t="n"/>
      <c r="T45" s="9" t="n"/>
    </row>
    <row r="46">
      <c r="A46" s="1" t="n"/>
      <c r="B46" s="1" t="n"/>
      <c r="C46" s="9" t="n"/>
      <c r="D46" s="9" t="n"/>
      <c r="E46" s="9" t="n"/>
      <c r="F46" s="9" t="n"/>
      <c r="G46" s="9" t="n"/>
      <c r="H46" s="9" t="n"/>
      <c r="I46" s="9" t="n"/>
      <c r="J46" s="9" t="n"/>
      <c r="K46" s="9" t="n"/>
      <c r="L46" s="9" t="n"/>
      <c r="M46" s="9" t="n"/>
      <c r="N46" s="9" t="n"/>
      <c r="O46" s="9" t="n"/>
      <c r="P46" s="9" t="n"/>
      <c r="Q46" s="9" t="n"/>
      <c r="R46" s="9" t="n"/>
      <c r="S46" s="9" t="n"/>
      <c r="T46" s="9" t="n"/>
    </row>
    <row r="47">
      <c r="A47" s="36" t="inlineStr">
        <is>
          <t>WIR. SIND. IMMOBILIEN!</t>
        </is>
      </c>
      <c r="C47" s="9" t="n"/>
      <c r="D47" s="9" t="n"/>
      <c r="E47" s="9" t="n"/>
      <c r="F47" s="9" t="n"/>
      <c r="G47" s="9" t="n"/>
      <c r="H47" s="9" t="n"/>
      <c r="I47" s="9" t="n"/>
      <c r="J47" s="9" t="n"/>
      <c r="K47" s="9" t="n"/>
      <c r="L47" s="9" t="n"/>
      <c r="M47" s="9" t="n"/>
      <c r="N47" s="9" t="n"/>
      <c r="O47" s="9" t="n"/>
      <c r="P47" s="9" t="n"/>
      <c r="Q47" s="9" t="n"/>
      <c r="R47" s="9" t="n"/>
      <c r="S47" s="9" t="n"/>
      <c r="T47" s="9" t="n"/>
    </row>
    <row r="48">
      <c r="A48" s="37" t="inlineStr">
        <is>
          <t>www.neg.ag</t>
        </is>
      </c>
      <c r="C48" s="9" t="n"/>
      <c r="D48" s="9" t="n"/>
      <c r="E48" s="9" t="n"/>
      <c r="F48" s="9" t="n"/>
      <c r="G48" s="9" t="n"/>
      <c r="H48" s="9" t="n"/>
      <c r="I48" s="9" t="n"/>
      <c r="J48" s="9" t="n"/>
      <c r="K48" s="9" t="n"/>
      <c r="L48" s="9" t="n"/>
      <c r="M48" s="9" t="n"/>
      <c r="N48" s="9" t="n"/>
      <c r="O48" s="9" t="n"/>
      <c r="P48" s="9" t="n"/>
      <c r="Q48" s="9" t="n"/>
      <c r="R48" s="9" t="n"/>
      <c r="S48" s="9" t="n"/>
      <c r="T48" s="9" t="n"/>
    </row>
    <row r="49">
      <c r="A49" s="1" t="n"/>
      <c r="B49" s="1" t="n"/>
      <c r="C49" s="9" t="n"/>
      <c r="D49" s="9" t="n"/>
      <c r="E49" s="9" t="n"/>
      <c r="F49" s="9" t="n"/>
      <c r="G49" s="9" t="n"/>
      <c r="H49" s="9" t="n"/>
      <c r="I49" s="9" t="n"/>
      <c r="J49" s="9" t="n"/>
      <c r="K49" s="9" t="n"/>
      <c r="L49" s="9" t="n"/>
      <c r="M49" s="9" t="n"/>
      <c r="N49" s="9" t="n"/>
      <c r="O49" s="9" t="n"/>
      <c r="P49" s="9" t="n"/>
      <c r="Q49" s="9" t="n"/>
      <c r="R49" s="9" t="n"/>
      <c r="S49" s="9" t="n"/>
      <c r="T49" s="9" t="n"/>
    </row>
    <row r="50">
      <c r="A50" s="1" t="n"/>
      <c r="B50" s="1" t="n"/>
      <c r="C50" s="9" t="n"/>
      <c r="D50" s="9" t="n"/>
      <c r="E50" s="9" t="n"/>
      <c r="F50" s="9" t="n"/>
      <c r="G50" s="9" t="n"/>
      <c r="H50" s="9" t="n"/>
      <c r="I50" s="9" t="n"/>
      <c r="J50" s="9" t="n"/>
      <c r="K50" s="9" t="n"/>
      <c r="L50" s="9" t="n"/>
      <c r="M50" s="9" t="n"/>
      <c r="N50" s="9" t="n"/>
      <c r="O50" s="9" t="n"/>
      <c r="P50" s="9" t="n"/>
      <c r="Q50" s="9" t="n"/>
      <c r="R50" s="9" t="n"/>
      <c r="S50" s="9" t="n"/>
      <c r="T50" s="9" t="n"/>
    </row>
    <row r="51">
      <c r="A51" s="1" t="n"/>
      <c r="B51" s="1" t="n"/>
      <c r="C51" s="9" t="n"/>
      <c r="D51" s="9" t="n"/>
      <c r="E51" s="9" t="n"/>
      <c r="F51" s="9" t="n"/>
      <c r="G51" s="9" t="n"/>
      <c r="H51" s="9" t="n"/>
      <c r="I51" s="9" t="n"/>
      <c r="J51" s="9" t="n"/>
      <c r="K51" s="9" t="n"/>
      <c r="L51" s="9" t="n"/>
      <c r="M51" s="9" t="n"/>
      <c r="N51" s="9" t="n"/>
      <c r="O51" s="9" t="n"/>
      <c r="P51" s="9" t="n"/>
      <c r="Q51" s="9" t="n"/>
      <c r="R51" s="9" t="n"/>
      <c r="S51" s="9" t="n"/>
      <c r="T51" s="9" t="n"/>
    </row>
    <row r="52">
      <c r="A52" s="1" t="n"/>
      <c r="B52" s="1" t="n"/>
      <c r="C52" s="9" t="n"/>
      <c r="D52" s="9" t="n"/>
      <c r="E52" s="9" t="n"/>
      <c r="F52" s="9" t="n"/>
      <c r="G52" s="9" t="n"/>
      <c r="H52" s="9" t="n"/>
      <c r="I52" s="9" t="n"/>
      <c r="J52" s="9" t="n"/>
      <c r="K52" s="9" t="n"/>
      <c r="L52" s="9" t="n"/>
      <c r="M52" s="9" t="n"/>
      <c r="N52" s="9" t="n"/>
      <c r="O52" s="9" t="n"/>
      <c r="P52" s="9" t="n"/>
      <c r="Q52" s="9" t="n"/>
      <c r="R52" s="9" t="n"/>
      <c r="S52" s="9" t="n"/>
      <c r="T52" s="9" t="n"/>
    </row>
    <row r="53">
      <c r="A53" s="1" t="n"/>
      <c r="B53" s="1" t="n"/>
      <c r="C53" s="9" t="n"/>
      <c r="D53" s="9" t="n"/>
      <c r="E53" s="9" t="n"/>
      <c r="F53" s="9" t="n"/>
      <c r="G53" s="9" t="n"/>
      <c r="H53" s="9" t="n"/>
      <c r="I53" s="9" t="n"/>
      <c r="J53" s="9" t="n"/>
      <c r="K53" s="9" t="n"/>
      <c r="L53" s="9" t="n"/>
      <c r="M53" s="9" t="n"/>
      <c r="N53" s="9" t="n"/>
      <c r="O53" s="9" t="n"/>
      <c r="P53" s="9" t="n"/>
      <c r="Q53" s="9" t="n"/>
      <c r="R53" s="9" t="n"/>
      <c r="S53" s="9" t="n"/>
      <c r="T53" s="9" t="n"/>
    </row>
    <row r="54">
      <c r="A54" s="1" t="n"/>
      <c r="B54" s="1" t="n"/>
      <c r="C54" s="9" t="n"/>
      <c r="D54" s="9" t="n"/>
      <c r="E54" s="9" t="n"/>
      <c r="F54" s="9" t="n"/>
      <c r="G54" s="9" t="n"/>
      <c r="H54" s="9" t="n"/>
      <c r="I54" s="9" t="n"/>
      <c r="J54" s="9" t="n"/>
      <c r="K54" s="9" t="n"/>
      <c r="L54" s="9" t="n"/>
      <c r="M54" s="9" t="n"/>
      <c r="N54" s="9" t="n"/>
      <c r="O54" s="9" t="n"/>
      <c r="P54" s="9" t="n"/>
      <c r="Q54" s="9" t="n"/>
      <c r="R54" s="9" t="n"/>
      <c r="S54" s="9" t="n"/>
      <c r="T54" s="9" t="n"/>
    </row>
    <row r="55">
      <c r="A55" s="1" t="n"/>
      <c r="B55" s="1" t="n"/>
      <c r="C55" s="9" t="n"/>
      <c r="D55" s="9" t="n"/>
      <c r="E55" s="9" t="n"/>
      <c r="F55" s="9" t="n"/>
      <c r="G55" s="9" t="n"/>
      <c r="H55" s="9" t="n"/>
      <c r="I55" s="9" t="n"/>
      <c r="J55" s="9" t="n"/>
      <c r="K55" s="9" t="n"/>
      <c r="L55" s="9" t="n"/>
      <c r="M55" s="9" t="n"/>
      <c r="N55" s="9" t="n"/>
      <c r="O55" s="9" t="n"/>
      <c r="P55" s="9" t="n"/>
      <c r="Q55" s="9" t="n"/>
      <c r="R55" s="9" t="n"/>
      <c r="S55" s="9" t="n"/>
      <c r="T55" s="9" t="n"/>
    </row>
    <row r="56">
      <c r="A56" s="1" t="n"/>
      <c r="B56" s="1" t="n"/>
      <c r="C56" s="9" t="n"/>
      <c r="D56" s="9" t="n"/>
      <c r="E56" s="9" t="n"/>
      <c r="F56" s="9" t="n"/>
      <c r="G56" s="9" t="n"/>
      <c r="H56" s="9" t="n"/>
      <c r="I56" s="9" t="n"/>
      <c r="J56" s="9" t="n"/>
      <c r="K56" s="9" t="n"/>
      <c r="L56" s="9" t="n"/>
      <c r="M56" s="9" t="n"/>
      <c r="N56" s="9" t="n"/>
      <c r="O56" s="9" t="n"/>
      <c r="P56" s="9" t="n"/>
      <c r="Q56" s="9" t="n"/>
      <c r="R56" s="9" t="n"/>
      <c r="S56" s="9" t="n"/>
      <c r="T56" s="9" t="n"/>
    </row>
    <row r="57">
      <c r="A57" s="1" t="n"/>
      <c r="B57" s="1" t="n"/>
      <c r="C57" s="9" t="n"/>
      <c r="D57" s="9" t="n"/>
      <c r="E57" s="9" t="n"/>
      <c r="F57" s="9" t="n"/>
      <c r="G57" s="9" t="n"/>
      <c r="H57" s="9" t="n"/>
      <c r="I57" s="9" t="n"/>
      <c r="J57" s="9" t="n"/>
      <c r="K57" s="9" t="n"/>
      <c r="L57" s="9" t="n"/>
      <c r="M57" s="9" t="n"/>
      <c r="N57" s="9" t="n"/>
      <c r="O57" s="9" t="n"/>
      <c r="P57" s="9" t="n"/>
      <c r="Q57" s="9" t="n"/>
      <c r="R57" s="9" t="n"/>
      <c r="S57" s="9" t="n"/>
      <c r="T57" s="9" t="n"/>
    </row>
    <row r="58">
      <c r="A58" s="1" t="n"/>
      <c r="B58" s="1" t="n"/>
      <c r="C58" s="9" t="n"/>
      <c r="D58" s="9" t="n"/>
      <c r="E58" s="9" t="n"/>
      <c r="F58" s="9" t="n"/>
      <c r="G58" s="9" t="n"/>
      <c r="H58" s="9" t="n"/>
      <c r="I58" s="9" t="n"/>
      <c r="J58" s="9" t="n"/>
      <c r="K58" s="9" t="n"/>
      <c r="L58" s="9" t="n"/>
      <c r="M58" s="9" t="n"/>
      <c r="N58" s="9" t="n"/>
      <c r="O58" s="9" t="n"/>
      <c r="P58" s="9" t="n"/>
      <c r="Q58" s="9" t="n"/>
      <c r="R58" s="9" t="n"/>
      <c r="S58" s="9" t="n"/>
      <c r="T58" s="9" t="n"/>
    </row>
    <row r="59">
      <c r="A59" s="1" t="n"/>
      <c r="B59" s="1" t="n"/>
      <c r="C59" s="9" t="n"/>
      <c r="D59" s="9" t="n"/>
      <c r="E59" s="9" t="n"/>
      <c r="F59" s="9" t="n"/>
      <c r="G59" s="9" t="n"/>
      <c r="H59" s="9" t="n"/>
      <c r="I59" s="9" t="n"/>
      <c r="J59" s="9" t="n"/>
      <c r="K59" s="9" t="n"/>
      <c r="L59" s="9" t="n"/>
      <c r="M59" s="9" t="n"/>
      <c r="N59" s="9" t="n"/>
      <c r="O59" s="9" t="n"/>
      <c r="P59" s="9" t="n"/>
      <c r="Q59" s="9" t="n"/>
      <c r="R59" s="9" t="n"/>
      <c r="S59" s="9" t="n"/>
      <c r="T59" s="9" t="n"/>
    </row>
    <row r="60">
      <c r="A60" s="1" t="n"/>
      <c r="B60" s="1" t="n"/>
      <c r="C60" s="9" t="n"/>
      <c r="D60" s="9" t="n"/>
      <c r="E60" s="9" t="n"/>
      <c r="F60" s="9" t="n"/>
      <c r="G60" s="9" t="n"/>
      <c r="H60" s="9" t="n"/>
      <c r="I60" s="9" t="n"/>
      <c r="J60" s="9" t="n"/>
      <c r="K60" s="9" t="n"/>
      <c r="L60" s="9" t="n"/>
      <c r="M60" s="9" t="n"/>
      <c r="N60" s="9" t="n"/>
      <c r="O60" s="9" t="n"/>
      <c r="P60" s="9" t="n"/>
      <c r="Q60" s="9" t="n"/>
      <c r="R60" s="9" t="n"/>
      <c r="S60" s="9" t="n"/>
      <c r="T60" s="9" t="n"/>
    </row>
  </sheetData>
  <mergeCells count="36">
    <mergeCell ref="A48:B48"/>
    <mergeCell ref="A15:B15"/>
    <mergeCell ref="D11:R11"/>
    <mergeCell ref="A11:B11"/>
    <mergeCell ref="D13:R13"/>
    <mergeCell ref="D17:R17"/>
    <mergeCell ref="D7:F9"/>
    <mergeCell ref="D23:G23"/>
    <mergeCell ref="D16:R16"/>
    <mergeCell ref="D2:K2"/>
    <mergeCell ref="H7:J9"/>
    <mergeCell ref="P7:R9"/>
    <mergeCell ref="D12:R12"/>
    <mergeCell ref="I24:L25"/>
    <mergeCell ref="D18:R18"/>
    <mergeCell ref="L6:N6"/>
    <mergeCell ref="A12:B12"/>
    <mergeCell ref="D24:G25"/>
    <mergeCell ref="D15:R15"/>
    <mergeCell ref="D14:R14"/>
    <mergeCell ref="A47:B47"/>
    <mergeCell ref="A14:B14"/>
    <mergeCell ref="A17:B17"/>
    <mergeCell ref="N24:Q25"/>
    <mergeCell ref="D3:K3"/>
    <mergeCell ref="N23:Q23"/>
    <mergeCell ref="D19:R19"/>
    <mergeCell ref="A10:B10"/>
    <mergeCell ref="D22:R22"/>
    <mergeCell ref="A13:B13"/>
    <mergeCell ref="L7:N9"/>
    <mergeCell ref="I23:L23"/>
    <mergeCell ref="A9:B9"/>
    <mergeCell ref="D6:F6"/>
    <mergeCell ref="P6:R6"/>
    <mergeCell ref="H6:J6"/>
  </mergeCells>
  <dataValidations count="3">
    <dataValidation sqref="A11" showDropDown="0" showInputMessage="0" showErrorMessage="0" allowBlank="1" type="list">
      <formula1>GesListe</formula1>
    </dataValidation>
    <dataValidation sqref="A13" showDropDown="0" showInputMessage="0" showErrorMessage="0" allowBlank="1" type="list">
      <formula1>KatListe</formula1>
    </dataValidation>
    <dataValidation sqref="A15" showDropDown="0" showInputMessage="0" showErrorMessage="0" allowBlank="1" type="list">
      <formula1>LiefListe</formula1>
    </dataValidation>
  </dataValidations>
  <pageMargins left="0.75" right="0.75" top="1" bottom="1" header="0.5" footer="0.5"/>
  <drawing xmlns:r="http://schemas.openxmlformats.org/officeDocument/2006/relationships" r:id="rId1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T56"/>
  <sheetViews>
    <sheetView showGridLines="0"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12" customWidth="1" min="1" max="1"/>
    <col width="11" customWidth="1" min="2" max="2"/>
    <col width="11" customWidth="1" min="3" max="3"/>
    <col width="10" customWidth="1" min="4" max="4"/>
    <col width="11" customWidth="1" min="5" max="5"/>
    <col width="17" customWidth="1" min="6" max="6"/>
    <col width="9" customWidth="1" min="7" max="7"/>
    <col width="17" customWidth="1" min="8" max="8"/>
    <col width="8" customWidth="1" min="9" max="9"/>
    <col width="11" customWidth="1" min="10" max="10"/>
    <col width="12" customWidth="1" min="11" max="11"/>
    <col width="12" customWidth="1" min="12" max="12"/>
    <col width="10" customWidth="1" min="13" max="13"/>
    <col width="10" customWidth="1" min="14" max="14"/>
    <col width="9" customWidth="1" min="15" max="15"/>
    <col width="11" customWidth="1" min="16" max="16"/>
    <col width="8" customWidth="1" min="17" max="17"/>
    <col width="14" customWidth="1" min="18" max="18"/>
    <col width="30" customWidth="1" min="19" max="19"/>
    <col width="9" customWidth="1" min="20" max="20"/>
  </cols>
  <sheetData>
    <row r="1" ht="22" customHeight="1">
      <c r="A1" s="1" t="n"/>
      <c r="B1" s="1" t="n"/>
      <c r="C1" s="2" t="inlineStr">
        <is>
          <t>Rechnungsbuch</t>
        </is>
      </c>
      <c r="I1" s="1" t="n"/>
      <c r="J1" s="1" t="n"/>
      <c r="K1" s="1" t="n"/>
      <c r="L1" s="1" t="n"/>
      <c r="M1" s="1" t="n"/>
      <c r="N1" s="1" t="n"/>
      <c r="O1" s="1" t="n"/>
      <c r="P1" s="1" t="n"/>
      <c r="Q1" s="1" t="n"/>
      <c r="R1" s="1" t="n"/>
      <c r="S1" s="1" t="n"/>
      <c r="T1" s="1" t="n"/>
    </row>
    <row r="2" ht="20" customHeight="1">
      <c r="A2" s="1" t="n"/>
      <c r="B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  <c r="R2" s="1" t="n"/>
      <c r="S2" s="1" t="n"/>
      <c r="T2" s="1" t="n"/>
    </row>
    <row r="3" ht="16" customHeight="1">
      <c r="A3" s="1" t="n"/>
      <c r="B3" s="1" t="n"/>
      <c r="C3" s="3" t="inlineStr">
        <is>
          <t>Rechnungseingangsbuch · Eingabe &amp; Verwaltung</t>
        </is>
      </c>
      <c r="D3" s="1" t="n"/>
      <c r="E3" s="1" t="n"/>
      <c r="F3" s="1" t="n"/>
      <c r="G3" s="1" t="n"/>
      <c r="H3" s="1" t="n"/>
      <c r="I3" s="1" t="n"/>
      <c r="J3" s="1" t="n"/>
      <c r="K3" s="1" t="n"/>
      <c r="L3" s="1" t="n"/>
      <c r="M3" s="1" t="n"/>
      <c r="N3" s="1" t="n"/>
      <c r="O3" s="1" t="n"/>
      <c r="P3" s="1" t="n"/>
      <c r="Q3" s="1" t="n"/>
      <c r="R3" s="1" t="n"/>
      <c r="S3" s="1" t="n"/>
      <c r="T3" s="1" t="n"/>
    </row>
    <row r="4" ht="22" customHeight="1">
      <c r="A4" s="4" t="inlineStr">
        <is>
          <t>Lfd. Nr.</t>
        </is>
      </c>
      <c r="B4" s="4" t="inlineStr">
        <is>
          <t>RE-Nr.</t>
        </is>
      </c>
      <c r="C4" s="4" t="inlineStr">
        <is>
          <t>RE-Datum</t>
        </is>
      </c>
      <c r="D4" s="4" t="inlineStr">
        <is>
          <t>Eingang</t>
        </is>
      </c>
      <c r="E4" s="4" t="inlineStr">
        <is>
          <t>Faelligkeit</t>
        </is>
      </c>
      <c r="F4" s="4" t="inlineStr">
        <is>
          <t>Lieferant</t>
        </is>
      </c>
      <c r="G4" s="4" t="inlineStr">
        <is>
          <t>Kred.-Konto</t>
        </is>
      </c>
      <c r="H4" s="4" t="inlineStr">
        <is>
          <t>Kategorie</t>
        </is>
      </c>
      <c r="I4" s="4" t="inlineStr">
        <is>
          <t>Projekt</t>
        </is>
      </c>
      <c r="J4" s="4" t="inlineStr">
        <is>
          <t>Gesellschaft</t>
        </is>
      </c>
      <c r="K4" s="4" t="inlineStr">
        <is>
          <t>Brutto</t>
        </is>
      </c>
      <c r="L4" s="4" t="inlineStr">
        <is>
          <t>Netto</t>
        </is>
      </c>
      <c r="M4" s="4" t="inlineStr">
        <is>
          <t>MwSt.</t>
        </is>
      </c>
      <c r="N4" s="4" t="inlineStr">
        <is>
          <t>Status</t>
        </is>
      </c>
      <c r="O4" s="4" t="inlineStr">
        <is>
          <t>Sachlich</t>
        </is>
      </c>
      <c r="P4" s="4" t="inlineStr">
        <is>
          <t>Rechnerisch</t>
        </is>
      </c>
      <c r="Q4" s="4" t="inlineStr">
        <is>
          <t>Juergen</t>
        </is>
      </c>
      <c r="R4" s="4" t="inlineStr">
        <is>
          <t>Bemerkung</t>
        </is>
      </c>
      <c r="S4" s="4" t="inlineStr">
        <is>
          <t>Dateiname</t>
        </is>
      </c>
      <c r="T4" s="4" t="inlineStr">
        <is>
          <t>Rechnung</t>
        </is>
      </c>
    </row>
    <row r="5">
      <c r="A5" t="inlineStr">
        <is>
          <t>INV-2026-1001</t>
        </is>
      </c>
      <c r="B5" t="inlineStr">
        <is>
          <t>RE-57931</t>
        </is>
      </c>
      <c r="C5" s="38" t="n">
        <v>46124</v>
      </c>
      <c r="D5" s="38" t="n">
        <v>46125</v>
      </c>
      <c r="E5" s="38" t="n">
        <v>46154</v>
      </c>
      <c r="F5" t="inlineStr">
        <is>
          <t>Immoscout24</t>
        </is>
      </c>
      <c r="G5" s="6">
        <f>IFERROR(INDEX(Kreditoren!$A:$A,MATCH(F5,Kreditoren!$B:$B,0)),"")</f>
        <v/>
      </c>
      <c r="H5" s="6">
        <f>IFERROR(INDEX(Kreditoren!$C:$C,MATCH(F5,Kreditoren!$B:$B,0)),"")</f>
        <v/>
      </c>
      <c r="I5" t="inlineStr">
        <is>
          <t>HH</t>
        </is>
      </c>
      <c r="J5" s="6">
        <f>IFERROR(INDEX(Projekte!$B:$B,MATCH(I5,Projekte!$A:$A,0)),"")</f>
        <v/>
      </c>
      <c r="K5" s="39" t="n">
        <v>654.9400000000001</v>
      </c>
      <c r="L5" s="39" t="n">
        <v>550.37</v>
      </c>
      <c r="M5" s="39" t="n">
        <v>104.57</v>
      </c>
      <c r="N5" t="inlineStr">
        <is>
          <t>Bezahlt</t>
        </is>
      </c>
      <c r="O5" t="inlineStr">
        <is>
          <t>x</t>
        </is>
      </c>
      <c r="P5" t="inlineStr">
        <is>
          <t>x</t>
        </is>
      </c>
      <c r="Q5" t="inlineStr">
        <is>
          <t>x</t>
        </is>
      </c>
      <c r="S5" t="inlineStr">
        <is>
          <t>2026-04-12_Rechnung_HH_Immoscout24.pdf</t>
        </is>
      </c>
      <c r="T5" s="8">
        <f>HYPERLINK("https://artcas.sharepoint.com/sites/NEGAG/NEG_DMS/50_BUCHHALTUNG/HH/Verbindlichkeiten/2026/04/2026-04-12_Rechnung_HH_Immoscout24.pdf","Öffnen")</f>
        <v/>
      </c>
    </row>
    <row r="6">
      <c r="A6" t="inlineStr">
        <is>
          <t>INV-2026-1002</t>
        </is>
      </c>
      <c r="B6" t="inlineStr">
        <is>
          <t>RE-84115</t>
        </is>
      </c>
      <c r="C6" s="38" t="n">
        <v>46152</v>
      </c>
      <c r="D6" s="38" t="n">
        <v>46153</v>
      </c>
      <c r="E6" s="38" t="n">
        <v>46166</v>
      </c>
      <c r="F6" t="inlineStr">
        <is>
          <t>Schlosser</t>
        </is>
      </c>
      <c r="G6" s="6">
        <f>IFERROR(INDEX(Kreditoren!$A:$A,MATCH(F6,Kreditoren!$B:$B,0)),"")</f>
        <v/>
      </c>
      <c r="H6" s="6">
        <f>IFERROR(INDEX(Kreditoren!$C:$C,MATCH(F6,Kreditoren!$B:$B,0)),"")</f>
        <v/>
      </c>
      <c r="I6" t="inlineStr">
        <is>
          <t>B69</t>
        </is>
      </c>
      <c r="J6" s="6">
        <f>IFERROR(INDEX(Projekte!$B:$B,MATCH(I6,Projekte!$A:$A,0)),"")</f>
        <v/>
      </c>
      <c r="K6" s="39" t="n">
        <v>1660.29</v>
      </c>
      <c r="L6" s="39" t="n">
        <v>1395.2</v>
      </c>
      <c r="M6" s="39" t="n">
        <v>265.09</v>
      </c>
      <c r="N6" t="inlineStr">
        <is>
          <t>Offen</t>
        </is>
      </c>
      <c r="O6" t="inlineStr">
        <is>
          <t>x</t>
        </is>
      </c>
      <c r="P6" t="inlineStr">
        <is>
          <t>x</t>
        </is>
      </c>
      <c r="Q6" t="inlineStr">
        <is>
          <t>x</t>
        </is>
      </c>
      <c r="S6" t="inlineStr">
        <is>
          <t>2026-05-10_Rechnung_B69_Schlosser.pdf</t>
        </is>
      </c>
      <c r="T6" s="8">
        <f>HYPERLINK("https://artcas.sharepoint.com/sites/NEGAG/NEG_DMS/50_BUCHHALTUNG/B69/Verbindlichkeiten/2026/05/2026-05-10_Rechnung_B69_Schlosser.pdf","Öffnen")</f>
        <v/>
      </c>
    </row>
    <row r="7">
      <c r="A7" t="inlineStr">
        <is>
          <t>INV-2026-1003</t>
        </is>
      </c>
      <c r="B7" t="inlineStr">
        <is>
          <t>RE-38977</t>
        </is>
      </c>
      <c r="C7" s="38" t="n">
        <v>46184</v>
      </c>
      <c r="D7" s="38" t="n">
        <v>46185</v>
      </c>
      <c r="E7" s="38" t="n">
        <v>46214</v>
      </c>
      <c r="F7" t="inlineStr">
        <is>
          <t>Telekom</t>
        </is>
      </c>
      <c r="G7" s="6">
        <f>IFERROR(INDEX(Kreditoren!$A:$A,MATCH(F7,Kreditoren!$B:$B,0)),"")</f>
        <v/>
      </c>
      <c r="H7" s="6">
        <f>IFERROR(INDEX(Kreditoren!$C:$C,MATCH(F7,Kreditoren!$B:$B,0)),"")</f>
        <v/>
      </c>
      <c r="I7" t="inlineStr">
        <is>
          <t>HR</t>
        </is>
      </c>
      <c r="J7" s="6">
        <f>IFERROR(INDEX(Projekte!$B:$B,MATCH(I7,Projekte!$A:$A,0)),"")</f>
        <v/>
      </c>
      <c r="K7" s="39" t="n">
        <v>394.15</v>
      </c>
      <c r="L7" s="39" t="n">
        <v>331.22</v>
      </c>
      <c r="M7" s="39" t="n">
        <v>62.93</v>
      </c>
      <c r="N7" t="inlineStr">
        <is>
          <t>Bezahlt</t>
        </is>
      </c>
      <c r="O7" t="inlineStr">
        <is>
          <t>x</t>
        </is>
      </c>
      <c r="P7" t="inlineStr">
        <is>
          <t>x</t>
        </is>
      </c>
      <c r="Q7" t="inlineStr">
        <is>
          <t>x</t>
        </is>
      </c>
      <c r="S7" t="inlineStr">
        <is>
          <t>2026-06-11_Rechnung_HR_Telekom.pdf</t>
        </is>
      </c>
      <c r="T7" s="8">
        <f>HYPERLINK("https://artcas.sharepoint.com/sites/NEGAG/NEG_DMS/50_BUCHHALTUNG/HR/Verbindlichkeiten/2026/06/2026-06-11_Rechnung_HR_Telekom.pdf","Öffnen")</f>
        <v/>
      </c>
    </row>
    <row r="8">
      <c r="A8" t="inlineStr">
        <is>
          <t>INV-2026-1004</t>
        </is>
      </c>
      <c r="B8" t="inlineStr">
        <is>
          <t>RE-50433</t>
        </is>
      </c>
      <c r="C8" s="38" t="n">
        <v>46057</v>
      </c>
      <c r="D8" s="38" t="n">
        <v>46061</v>
      </c>
      <c r="E8" s="38" t="n">
        <v>46087</v>
      </c>
      <c r="F8" t="inlineStr">
        <is>
          <t>Vodafone</t>
        </is>
      </c>
      <c r="G8" s="6">
        <f>IFERROR(INDEX(Kreditoren!$A:$A,MATCH(F8,Kreditoren!$B:$B,0)),"")</f>
        <v/>
      </c>
      <c r="H8" s="6">
        <f>IFERROR(INDEX(Kreditoren!$C:$C,MATCH(F8,Kreditoren!$B:$B,0)),"")</f>
        <v/>
      </c>
      <c r="I8" t="inlineStr">
        <is>
          <t>GD15</t>
        </is>
      </c>
      <c r="J8" s="6">
        <f>IFERROR(INDEX(Projekte!$B:$B,MATCH(I8,Projekte!$A:$A,0)),"")</f>
        <v/>
      </c>
      <c r="K8" s="39" t="n">
        <v>132.27</v>
      </c>
      <c r="L8" s="39" t="n">
        <v>111.15</v>
      </c>
      <c r="M8" s="39" t="n">
        <v>21.12</v>
      </c>
      <c r="N8" t="inlineStr">
        <is>
          <t>Bezahlt</t>
        </is>
      </c>
      <c r="O8" t="inlineStr">
        <is>
          <t>x</t>
        </is>
      </c>
      <c r="P8" t="inlineStr">
        <is>
          <t>x</t>
        </is>
      </c>
      <c r="Q8" t="inlineStr">
        <is>
          <t>x</t>
        </is>
      </c>
      <c r="S8" t="inlineStr">
        <is>
          <t>2026-02-04_Rechnung_GD15_Vodafone.pdf</t>
        </is>
      </c>
      <c r="T8" s="8">
        <f>HYPERLINK("https://artcas.sharepoint.com/sites/NEGAG/NEG_DMS/50_BUCHHALTUNG/GD15/Verbindlichkeiten/2026/02/2026-02-04_Rechnung_GD15_Vodafone.pdf","Öffnen")</f>
        <v/>
      </c>
    </row>
    <row r="9">
      <c r="A9" t="inlineStr">
        <is>
          <t>INV-2026-1005</t>
        </is>
      </c>
      <c r="B9" t="inlineStr">
        <is>
          <t>RE-18229</t>
        </is>
      </c>
      <c r="C9" s="38" t="n">
        <v>46069</v>
      </c>
      <c r="D9" s="38" t="n">
        <v>46071</v>
      </c>
      <c r="E9" s="38" t="n">
        <v>46083</v>
      </c>
      <c r="F9" t="inlineStr">
        <is>
          <t>Rupprecht</t>
        </is>
      </c>
      <c r="G9" s="6">
        <f>IFERROR(INDEX(Kreditoren!$A:$A,MATCH(F9,Kreditoren!$B:$B,0)),"")</f>
        <v/>
      </c>
      <c r="H9" s="6">
        <f>IFERROR(INDEX(Kreditoren!$C:$C,MATCH(F9,Kreditoren!$B:$B,0)),"")</f>
        <v/>
      </c>
      <c r="I9" t="inlineStr">
        <is>
          <t>Z1</t>
        </is>
      </c>
      <c r="J9" s="6">
        <f>IFERROR(INDEX(Projekte!$B:$B,MATCH(I9,Projekte!$A:$A,0)),"")</f>
        <v/>
      </c>
      <c r="K9" s="39" t="n">
        <v>5527.37</v>
      </c>
      <c r="L9" s="39" t="n">
        <v>4644.85</v>
      </c>
      <c r="M9" s="39" t="n">
        <v>882.52</v>
      </c>
      <c r="N9" t="inlineStr">
        <is>
          <t>Bezahlt</t>
        </is>
      </c>
      <c r="O9" t="inlineStr">
        <is>
          <t>x</t>
        </is>
      </c>
      <c r="P9" t="inlineStr">
        <is>
          <t>x</t>
        </is>
      </c>
      <c r="Q9" t="inlineStr">
        <is>
          <t>x</t>
        </is>
      </c>
      <c r="S9" t="inlineStr">
        <is>
          <t>2026-02-16_Rechnung_Z1_Rupprecht.pdf</t>
        </is>
      </c>
      <c r="T9" s="8">
        <f>HYPERLINK("https://artcas.sharepoint.com/sites/NEGAG/NEG_DMS/50_BUCHHALTUNG/Z1/Verbindlichkeiten/2026/02/2026-02-16_Rechnung_Z1_Rupprecht.pdf","Öffnen")</f>
        <v/>
      </c>
    </row>
    <row r="10">
      <c r="A10" t="inlineStr">
        <is>
          <t>INV-2026-1006</t>
        </is>
      </c>
      <c r="B10" t="inlineStr">
        <is>
          <t>RE-49291</t>
        </is>
      </c>
      <c r="C10" s="38" t="n">
        <v>46181</v>
      </c>
      <c r="D10" s="38" t="n">
        <v>46185</v>
      </c>
      <c r="E10" s="38" t="n">
        <v>46195</v>
      </c>
      <c r="F10" t="inlineStr">
        <is>
          <t>Schlosser</t>
        </is>
      </c>
      <c r="G10" s="6">
        <f>IFERROR(INDEX(Kreditoren!$A:$A,MATCH(F10,Kreditoren!$B:$B,0)),"")</f>
        <v/>
      </c>
      <c r="H10" s="6">
        <f>IFERROR(INDEX(Kreditoren!$C:$C,MATCH(F10,Kreditoren!$B:$B,0)),"")</f>
        <v/>
      </c>
      <c r="I10" t="inlineStr">
        <is>
          <t>B69</t>
        </is>
      </c>
      <c r="J10" s="6">
        <f>IFERROR(INDEX(Projekte!$B:$B,MATCH(I10,Projekte!$A:$A,0)),"")</f>
        <v/>
      </c>
      <c r="K10" s="39" t="n">
        <v>9685.4</v>
      </c>
      <c r="L10" s="39" t="n">
        <v>8138.99</v>
      </c>
      <c r="M10" s="39" t="n">
        <v>1546.41</v>
      </c>
      <c r="N10" t="inlineStr">
        <is>
          <t>Offen</t>
        </is>
      </c>
      <c r="O10" t="inlineStr">
        <is>
          <t>x</t>
        </is>
      </c>
      <c r="P10" t="inlineStr">
        <is>
          <t>x</t>
        </is>
      </c>
      <c r="Q10" t="inlineStr">
        <is>
          <t>x</t>
        </is>
      </c>
      <c r="S10" t="inlineStr">
        <is>
          <t>2026-06-08_Rechnung_B69_Schlosser.pdf</t>
        </is>
      </c>
      <c r="T10" s="8">
        <f>HYPERLINK("https://artcas.sharepoint.com/sites/NEGAG/NEG_DMS/50_BUCHHALTUNG/B69/Verbindlichkeiten/2026/06/2026-06-08_Rechnung_B69_Schlosser.pdf","Öffnen")</f>
        <v/>
      </c>
    </row>
    <row r="11">
      <c r="A11" t="inlineStr">
        <is>
          <t>INV-2026-1007</t>
        </is>
      </c>
      <c r="B11" t="inlineStr">
        <is>
          <t>RE-25475</t>
        </is>
      </c>
      <c r="C11" s="38" t="n">
        <v>46085</v>
      </c>
      <c r="D11" s="38" t="n">
        <v>46088</v>
      </c>
      <c r="E11" s="38" t="n">
        <v>46099</v>
      </c>
      <c r="F11" t="inlineStr">
        <is>
          <t>Veolia</t>
        </is>
      </c>
      <c r="G11" s="6">
        <f>IFERROR(INDEX(Kreditoren!$A:$A,MATCH(F11,Kreditoren!$B:$B,0)),"")</f>
        <v/>
      </c>
      <c r="H11" s="6">
        <f>IFERROR(INDEX(Kreditoren!$C:$C,MATCH(F11,Kreditoren!$B:$B,0)),"")</f>
        <v/>
      </c>
      <c r="I11" t="inlineStr">
        <is>
          <t>HH</t>
        </is>
      </c>
      <c r="J11" s="6">
        <f>IFERROR(INDEX(Projekte!$B:$B,MATCH(I11,Projekte!$A:$A,0)),"")</f>
        <v/>
      </c>
      <c r="K11" s="39" t="n">
        <v>1775.59</v>
      </c>
      <c r="L11" s="39" t="n">
        <v>1492.09</v>
      </c>
      <c r="M11" s="39" t="n">
        <v>283.5</v>
      </c>
      <c r="N11" t="inlineStr">
        <is>
          <t>Offen</t>
        </is>
      </c>
      <c r="O11" t="inlineStr">
        <is>
          <t>x</t>
        </is>
      </c>
      <c r="P11" t="inlineStr">
        <is>
          <t>x</t>
        </is>
      </c>
      <c r="S11" t="inlineStr">
        <is>
          <t>2026-03-04_Rechnung_HH_Veolia.pdf</t>
        </is>
      </c>
      <c r="T11" s="8">
        <f>HYPERLINK("https://artcas.sharepoint.com/sites/NEGAG/NEG_DMS/50_BUCHHALTUNG/HH/Verbindlichkeiten/2026/03/2026-03-04_Rechnung_HH_Veolia.pdf","Öffnen")</f>
        <v/>
      </c>
    </row>
    <row r="12">
      <c r="A12" t="inlineStr">
        <is>
          <t>INV-2026-1008</t>
        </is>
      </c>
      <c r="B12" t="inlineStr">
        <is>
          <t>RE-97584</t>
        </is>
      </c>
      <c r="C12" s="38" t="n">
        <v>46065</v>
      </c>
      <c r="D12" s="38" t="n">
        <v>46067</v>
      </c>
      <c r="E12" s="38" t="n">
        <v>46095</v>
      </c>
      <c r="F12" t="inlineStr">
        <is>
          <t>Rupprecht</t>
        </is>
      </c>
      <c r="G12" s="6">
        <f>IFERROR(INDEX(Kreditoren!$A:$A,MATCH(F12,Kreditoren!$B:$B,0)),"")</f>
        <v/>
      </c>
      <c r="H12" s="6">
        <f>IFERROR(INDEX(Kreditoren!$C:$C,MATCH(F12,Kreditoren!$B:$B,0)),"")</f>
        <v/>
      </c>
      <c r="I12" t="inlineStr">
        <is>
          <t>E25</t>
        </is>
      </c>
      <c r="J12" s="6">
        <f>IFERROR(INDEX(Projekte!$B:$B,MATCH(I12,Projekte!$A:$A,0)),"")</f>
        <v/>
      </c>
      <c r="K12" s="39" t="n">
        <v>13099.15</v>
      </c>
      <c r="L12" s="39" t="n">
        <v>11007.69</v>
      </c>
      <c r="M12" s="39" t="n">
        <v>2091.46</v>
      </c>
      <c r="N12" t="inlineStr">
        <is>
          <t>Bezahlt</t>
        </is>
      </c>
      <c r="O12" t="inlineStr">
        <is>
          <t>x</t>
        </is>
      </c>
      <c r="P12" t="inlineStr">
        <is>
          <t>x</t>
        </is>
      </c>
      <c r="Q12" t="inlineStr">
        <is>
          <t>x</t>
        </is>
      </c>
      <c r="S12" t="inlineStr">
        <is>
          <t>2026-02-12_Rechnung_E25_Rupprecht.pdf</t>
        </is>
      </c>
      <c r="T12" s="8">
        <f>HYPERLINK("https://artcas.sharepoint.com/sites/NEGAG/NEG_DMS/50_BUCHHALTUNG/E25/Verbindlichkeiten/2026/02/2026-02-12_Rechnung_E25_Rupprecht.pdf","Öffnen")</f>
        <v/>
      </c>
    </row>
    <row r="13">
      <c r="A13" t="inlineStr">
        <is>
          <t>INV-2026-1009</t>
        </is>
      </c>
      <c r="B13" t="inlineStr">
        <is>
          <t>RE-45381</t>
        </is>
      </c>
      <c r="C13" s="38" t="n">
        <v>46169</v>
      </c>
      <c r="D13" s="38" t="n">
        <v>46172</v>
      </c>
      <c r="E13" s="38" t="n">
        <v>46199</v>
      </c>
      <c r="F13" t="inlineStr">
        <is>
          <t>Telekom</t>
        </is>
      </c>
      <c r="G13" s="6">
        <f>IFERROR(INDEX(Kreditoren!$A:$A,MATCH(F13,Kreditoren!$B:$B,0)),"")</f>
        <v/>
      </c>
      <c r="H13" s="6">
        <f>IFERROR(INDEX(Kreditoren!$C:$C,MATCH(F13,Kreditoren!$B:$B,0)),"")</f>
        <v/>
      </c>
      <c r="I13" t="inlineStr">
        <is>
          <t>GD15</t>
        </is>
      </c>
      <c r="J13" s="6">
        <f>IFERROR(INDEX(Projekte!$B:$B,MATCH(I13,Projekte!$A:$A,0)),"")</f>
        <v/>
      </c>
      <c r="K13" s="39" t="n">
        <v>465.65</v>
      </c>
      <c r="L13" s="39" t="n">
        <v>391.3</v>
      </c>
      <c r="M13" s="39" t="n">
        <v>74.34999999999999</v>
      </c>
      <c r="N13" t="inlineStr">
        <is>
          <t>Offen</t>
        </is>
      </c>
      <c r="O13" t="inlineStr">
        <is>
          <t>x</t>
        </is>
      </c>
      <c r="P13" t="inlineStr">
        <is>
          <t>x</t>
        </is>
      </c>
      <c r="S13" t="inlineStr">
        <is>
          <t>2026-05-27_Rechnung_GD15_Telekom.pdf</t>
        </is>
      </c>
      <c r="T13" s="8">
        <f>HYPERLINK("https://artcas.sharepoint.com/sites/NEGAG/NEG_DMS/50_BUCHHALTUNG/GD15/Verbindlichkeiten/2026/05/2026-05-27_Rechnung_GD15_Telekom.pdf","Öffnen")</f>
        <v/>
      </c>
    </row>
    <row r="14">
      <c r="A14" t="inlineStr">
        <is>
          <t>INV-2026-1010</t>
        </is>
      </c>
      <c r="B14" t="inlineStr">
        <is>
          <t>RE-85752</t>
        </is>
      </c>
      <c r="C14" s="38" t="n">
        <v>46193</v>
      </c>
      <c r="D14" s="38" t="n">
        <v>46194</v>
      </c>
      <c r="E14" s="38" t="n">
        <v>46207</v>
      </c>
      <c r="F14" t="inlineStr">
        <is>
          <t>Neue Medien Muennich</t>
        </is>
      </c>
      <c r="G14" s="6">
        <f>IFERROR(INDEX(Kreditoren!$A:$A,MATCH(F14,Kreditoren!$B:$B,0)),"")</f>
        <v/>
      </c>
      <c r="H14" s="6">
        <f>IFERROR(INDEX(Kreditoren!$C:$C,MATCH(F14,Kreditoren!$B:$B,0)),"")</f>
        <v/>
      </c>
      <c r="I14" t="inlineStr">
        <is>
          <t>AFL</t>
        </is>
      </c>
      <c r="J14" s="6">
        <f>IFERROR(INDEX(Projekte!$B:$B,MATCH(I14,Projekte!$A:$A,0)),"")</f>
        <v/>
      </c>
      <c r="K14" s="39" t="n">
        <v>663.42</v>
      </c>
      <c r="L14" s="39" t="n">
        <v>557.5</v>
      </c>
      <c r="M14" s="39" t="n">
        <v>105.92</v>
      </c>
      <c r="N14" t="inlineStr">
        <is>
          <t>Bezahlt</t>
        </is>
      </c>
      <c r="O14" t="inlineStr">
        <is>
          <t>x</t>
        </is>
      </c>
      <c r="P14" t="inlineStr">
        <is>
          <t>x</t>
        </is>
      </c>
      <c r="Q14" t="inlineStr">
        <is>
          <t>x</t>
        </is>
      </c>
      <c r="S14" t="inlineStr">
        <is>
          <t>2026-06-20_Rechnung_AFL_Neue-Medien-Muennich.pdf</t>
        </is>
      </c>
      <c r="T14" s="8">
        <f>HYPERLINK("https://artcas.sharepoint.com/sites/NEGAG/NEG_DMS/50_BUCHHALTUNG/AFL/Verbindlichkeiten/2026/06/2026-06-20_Rechnung_AFL_Neue-Medien-Muennich.pdf","Öffnen")</f>
        <v/>
      </c>
    </row>
    <row r="15">
      <c r="A15" t="inlineStr">
        <is>
          <t>INV-2026-1011</t>
        </is>
      </c>
      <c r="B15" t="inlineStr">
        <is>
          <t>RE-70515</t>
        </is>
      </c>
      <c r="C15" s="38" t="n">
        <v>46095</v>
      </c>
      <c r="D15" s="38" t="n">
        <v>46099</v>
      </c>
      <c r="E15" s="38" t="n">
        <v>46125</v>
      </c>
      <c r="F15" t="inlineStr">
        <is>
          <t>Stadt Leipzig</t>
        </is>
      </c>
      <c r="G15" s="6">
        <f>IFERROR(INDEX(Kreditoren!$A:$A,MATCH(F15,Kreditoren!$B:$B,0)),"")</f>
        <v/>
      </c>
      <c r="H15" s="6">
        <f>IFERROR(INDEX(Kreditoren!$C:$C,MATCH(F15,Kreditoren!$B:$B,0)),"")</f>
        <v/>
      </c>
      <c r="I15" t="inlineStr">
        <is>
          <t>TG</t>
        </is>
      </c>
      <c r="J15" s="6">
        <f>IFERROR(INDEX(Projekte!$B:$B,MATCH(I15,Projekte!$A:$A,0)),"")</f>
        <v/>
      </c>
      <c r="K15" s="39" t="n">
        <v>1422.65</v>
      </c>
      <c r="L15" s="39" t="n">
        <v>1195.5</v>
      </c>
      <c r="M15" s="39" t="n">
        <v>227.15</v>
      </c>
      <c r="N15" t="inlineStr">
        <is>
          <t>Bezahlt</t>
        </is>
      </c>
      <c r="O15" t="inlineStr">
        <is>
          <t>x</t>
        </is>
      </c>
      <c r="P15" t="inlineStr">
        <is>
          <t>x</t>
        </is>
      </c>
      <c r="Q15" t="inlineStr">
        <is>
          <t>x</t>
        </is>
      </c>
      <c r="S15" t="inlineStr">
        <is>
          <t>2026-03-14_Rechnung_TG_Stadt-Leipzig.pdf</t>
        </is>
      </c>
      <c r="T15" s="8">
        <f>HYPERLINK("https://artcas.sharepoint.com/sites/NEGAG/NEG_DMS/50_BUCHHALTUNG/TG/Verbindlichkeiten/2026/03/2026-03-14_Rechnung_TG_Stadt-Leipzig.pdf","Öffnen")</f>
        <v/>
      </c>
    </row>
    <row r="16">
      <c r="A16" t="inlineStr">
        <is>
          <t>INV-2026-1012</t>
        </is>
      </c>
      <c r="B16" t="inlineStr">
        <is>
          <t>RE-75078</t>
        </is>
      </c>
      <c r="C16" s="38" t="n">
        <v>46179</v>
      </c>
      <c r="D16" s="38" t="n">
        <v>46183</v>
      </c>
      <c r="E16" s="38" t="n">
        <v>46193</v>
      </c>
      <c r="F16" t="inlineStr">
        <is>
          <t>Immoscout24</t>
        </is>
      </c>
      <c r="G16" s="6">
        <f>IFERROR(INDEX(Kreditoren!$A:$A,MATCH(F16,Kreditoren!$B:$B,0)),"")</f>
        <v/>
      </c>
      <c r="H16" s="6">
        <f>IFERROR(INDEX(Kreditoren!$C:$C,MATCH(F16,Kreditoren!$B:$B,0)),"")</f>
        <v/>
      </c>
      <c r="I16" t="inlineStr">
        <is>
          <t>HH</t>
        </is>
      </c>
      <c r="J16" s="6">
        <f>IFERROR(INDEX(Projekte!$B:$B,MATCH(I16,Projekte!$A:$A,0)),"")</f>
        <v/>
      </c>
      <c r="K16" s="39" t="n">
        <v>588.88</v>
      </c>
      <c r="L16" s="39" t="n">
        <v>494.86</v>
      </c>
      <c r="M16" s="39" t="n">
        <v>94.02</v>
      </c>
      <c r="N16" t="inlineStr">
        <is>
          <t>Offen</t>
        </is>
      </c>
      <c r="O16" t="inlineStr">
        <is>
          <t>x</t>
        </is>
      </c>
      <c r="P16" t="inlineStr">
        <is>
          <t>x</t>
        </is>
      </c>
      <c r="Q16" t="inlineStr">
        <is>
          <t>x</t>
        </is>
      </c>
      <c r="S16" t="inlineStr">
        <is>
          <t>2026-06-06_Rechnung_HH_Immoscout24.pdf</t>
        </is>
      </c>
      <c r="T16" s="8">
        <f>HYPERLINK("https://artcas.sharepoint.com/sites/NEGAG/NEG_DMS/50_BUCHHALTUNG/HH/Verbindlichkeiten/2026/06/2026-06-06_Rechnung_HH_Immoscout24.pdf","Öffnen")</f>
        <v/>
      </c>
    </row>
    <row r="17">
      <c r="A17" t="inlineStr">
        <is>
          <t>INV-2026-1013</t>
        </is>
      </c>
      <c r="B17" t="inlineStr">
        <is>
          <t>RE-46493</t>
        </is>
      </c>
      <c r="C17" s="38" t="n">
        <v>46137</v>
      </c>
      <c r="D17" s="38" t="n">
        <v>46140</v>
      </c>
      <c r="E17" s="38" t="n">
        <v>46167</v>
      </c>
      <c r="F17" t="inlineStr">
        <is>
          <t>Telekom</t>
        </is>
      </c>
      <c r="G17" s="6">
        <f>IFERROR(INDEX(Kreditoren!$A:$A,MATCH(F17,Kreditoren!$B:$B,0)),"")</f>
        <v/>
      </c>
      <c r="H17" s="6">
        <f>IFERROR(INDEX(Kreditoren!$C:$C,MATCH(F17,Kreditoren!$B:$B,0)),"")</f>
        <v/>
      </c>
      <c r="I17" t="inlineStr">
        <is>
          <t>HH</t>
        </is>
      </c>
      <c r="J17" s="6">
        <f>IFERROR(INDEX(Projekte!$B:$B,MATCH(I17,Projekte!$A:$A,0)),"")</f>
        <v/>
      </c>
      <c r="K17" s="39" t="n">
        <v>579.45</v>
      </c>
      <c r="L17" s="39" t="n">
        <v>486.93</v>
      </c>
      <c r="M17" s="39" t="n">
        <v>92.52</v>
      </c>
      <c r="N17" t="inlineStr">
        <is>
          <t>Offen</t>
        </is>
      </c>
      <c r="S17" t="inlineStr">
        <is>
          <t>2026-04-25_Rechnung_HH_Telekom.pdf</t>
        </is>
      </c>
      <c r="T17" s="8">
        <f>HYPERLINK("https://artcas.sharepoint.com/sites/NEGAG/NEG_DMS/50_BUCHHALTUNG/HH/Verbindlichkeiten/2026/04/2026-04-25_Rechnung_HH_Telekom.pdf","Öffnen")</f>
        <v/>
      </c>
    </row>
    <row r="18">
      <c r="A18" t="inlineStr">
        <is>
          <t>INV-2026-1014</t>
        </is>
      </c>
      <c r="B18" t="inlineStr">
        <is>
          <t>RE-33097</t>
        </is>
      </c>
      <c r="C18" s="38" t="n">
        <v>46114</v>
      </c>
      <c r="D18" s="38" t="n">
        <v>46118</v>
      </c>
      <c r="E18" s="38" t="n">
        <v>46144</v>
      </c>
      <c r="F18" t="inlineStr">
        <is>
          <t>Bundesanzeiger</t>
        </is>
      </c>
      <c r="G18" s="6">
        <f>IFERROR(INDEX(Kreditoren!$A:$A,MATCH(F18,Kreditoren!$B:$B,0)),"")</f>
        <v/>
      </c>
      <c r="H18" s="6">
        <f>IFERROR(INDEX(Kreditoren!$C:$C,MATCH(F18,Kreditoren!$B:$B,0)),"")</f>
        <v/>
      </c>
      <c r="I18" t="inlineStr">
        <is>
          <t>E25</t>
        </is>
      </c>
      <c r="J18" s="6">
        <f>IFERROR(INDEX(Projekte!$B:$B,MATCH(I18,Projekte!$A:$A,0)),"")</f>
        <v/>
      </c>
      <c r="K18" s="39" t="n">
        <v>1533.64</v>
      </c>
      <c r="L18" s="39" t="n">
        <v>1288.77</v>
      </c>
      <c r="M18" s="39" t="n">
        <v>244.87</v>
      </c>
      <c r="N18" t="inlineStr">
        <is>
          <t>Bezahlt</t>
        </is>
      </c>
      <c r="O18" t="inlineStr">
        <is>
          <t>x</t>
        </is>
      </c>
      <c r="P18" t="inlineStr">
        <is>
          <t>x</t>
        </is>
      </c>
      <c r="Q18" t="inlineStr">
        <is>
          <t>x</t>
        </is>
      </c>
      <c r="S18" t="inlineStr">
        <is>
          <t>2026-04-02_Rechnung_E25_Bundesanzeiger.pdf</t>
        </is>
      </c>
      <c r="T18" s="8">
        <f>HYPERLINK("https://artcas.sharepoint.com/sites/NEGAG/NEG_DMS/50_BUCHHALTUNG/E25/Verbindlichkeiten/2026/04/2026-04-02_Rechnung_E25_Bundesanzeiger.pdf","Öffnen")</f>
        <v/>
      </c>
    </row>
    <row r="19">
      <c r="A19" t="inlineStr">
        <is>
          <t>INV-2026-1015</t>
        </is>
      </c>
      <c r="B19" t="inlineStr">
        <is>
          <t>RE-58398</t>
        </is>
      </c>
      <c r="C19" s="38" t="n">
        <v>46191</v>
      </c>
      <c r="D19" s="38" t="n">
        <v>46192</v>
      </c>
      <c r="E19" s="38" t="n">
        <v>46205</v>
      </c>
      <c r="F19" t="inlineStr">
        <is>
          <t>Stadtwerke Leipzig</t>
        </is>
      </c>
      <c r="G19" s="6">
        <f>IFERROR(INDEX(Kreditoren!$A:$A,MATCH(F19,Kreditoren!$B:$B,0)),"")</f>
        <v/>
      </c>
      <c r="H19" s="6">
        <f>IFERROR(INDEX(Kreditoren!$C:$C,MATCH(F19,Kreditoren!$B:$B,0)),"")</f>
        <v/>
      </c>
      <c r="I19" t="inlineStr">
        <is>
          <t>HR</t>
        </is>
      </c>
      <c r="J19" s="6">
        <f>IFERROR(INDEX(Projekte!$B:$B,MATCH(I19,Projekte!$A:$A,0)),"")</f>
        <v/>
      </c>
      <c r="K19" s="39" t="n">
        <v>1654.89</v>
      </c>
      <c r="L19" s="39" t="n">
        <v>1390.66</v>
      </c>
      <c r="M19" s="39" t="n">
        <v>264.23</v>
      </c>
      <c r="N19" t="inlineStr">
        <is>
          <t>Offen</t>
        </is>
      </c>
      <c r="O19" t="inlineStr">
        <is>
          <t>x</t>
        </is>
      </c>
      <c r="P19" t="inlineStr">
        <is>
          <t>x</t>
        </is>
      </c>
      <c r="Q19" t="inlineStr">
        <is>
          <t>x</t>
        </is>
      </c>
      <c r="S19" t="inlineStr">
        <is>
          <t>2026-06-18_Rechnung_HR_Stadtwerke-Leipzig.pdf</t>
        </is>
      </c>
      <c r="T19" s="8">
        <f>HYPERLINK("https://artcas.sharepoint.com/sites/NEGAG/NEG_DMS/50_BUCHHALTUNG/HR/Verbindlichkeiten/2026/06/2026-06-18_Rechnung_HR_Stadtwerke-Leipzig.pdf","Öffnen")</f>
        <v/>
      </c>
    </row>
    <row r="20">
      <c r="A20" t="inlineStr">
        <is>
          <t>INV-2026-1016</t>
        </is>
      </c>
      <c r="B20" t="inlineStr">
        <is>
          <t>RE-99204</t>
        </is>
      </c>
      <c r="C20" s="38" t="n">
        <v>46104</v>
      </c>
      <c r="D20" s="38" t="n">
        <v>46105</v>
      </c>
      <c r="E20" s="38" t="n">
        <v>46118</v>
      </c>
      <c r="F20" t="inlineStr">
        <is>
          <t>Schlosser</t>
        </is>
      </c>
      <c r="G20" s="6">
        <f>IFERROR(INDEX(Kreditoren!$A:$A,MATCH(F20,Kreditoren!$B:$B,0)),"")</f>
        <v/>
      </c>
      <c r="H20" s="6">
        <f>IFERROR(INDEX(Kreditoren!$C:$C,MATCH(F20,Kreditoren!$B:$B,0)),"")</f>
        <v/>
      </c>
      <c r="I20" t="inlineStr">
        <is>
          <t>GF4</t>
        </is>
      </c>
      <c r="J20" s="6">
        <f>IFERROR(INDEX(Projekte!$B:$B,MATCH(I20,Projekte!$A:$A,0)),"")</f>
        <v/>
      </c>
      <c r="K20" s="39" t="n">
        <v>6664.69</v>
      </c>
      <c r="L20" s="39" t="n">
        <v>5600.58</v>
      </c>
      <c r="M20" s="39" t="n">
        <v>1064.11</v>
      </c>
      <c r="N20" t="inlineStr">
        <is>
          <t>Offen</t>
        </is>
      </c>
      <c r="S20" t="inlineStr">
        <is>
          <t>2026-03-23_Rechnung_GF4_Schlosser.pdf</t>
        </is>
      </c>
      <c r="T20" s="8">
        <f>HYPERLINK("https://artcas.sharepoint.com/sites/NEGAG/NEG_DMS/50_BUCHHALTUNG/GF4/Verbindlichkeiten/2026/03/2026-03-23_Rechnung_GF4_Schlosser.pdf","Öffnen")</f>
        <v/>
      </c>
    </row>
    <row r="21">
      <c r="A21" t="inlineStr">
        <is>
          <t>INV-2026-1017</t>
        </is>
      </c>
      <c r="B21" t="inlineStr">
        <is>
          <t>RE-18158</t>
        </is>
      </c>
      <c r="C21" s="38" t="n">
        <v>46124</v>
      </c>
      <c r="D21" s="38" t="n">
        <v>46128</v>
      </c>
      <c r="E21" s="38" t="n">
        <v>46154</v>
      </c>
      <c r="F21" t="inlineStr">
        <is>
          <t>Rupprecht</t>
        </is>
      </c>
      <c r="G21" s="6">
        <f>IFERROR(INDEX(Kreditoren!$A:$A,MATCH(F21,Kreditoren!$B:$B,0)),"")</f>
        <v/>
      </c>
      <c r="H21" s="6">
        <f>IFERROR(INDEX(Kreditoren!$C:$C,MATCH(F21,Kreditoren!$B:$B,0)),"")</f>
        <v/>
      </c>
      <c r="I21" t="inlineStr">
        <is>
          <t>E25</t>
        </is>
      </c>
      <c r="J21" s="6">
        <f>IFERROR(INDEX(Projekte!$B:$B,MATCH(I21,Projekte!$A:$A,0)),"")</f>
        <v/>
      </c>
      <c r="K21" s="39" t="n">
        <v>1897.75</v>
      </c>
      <c r="L21" s="39" t="n">
        <v>1594.75</v>
      </c>
      <c r="M21" s="39" t="n">
        <v>303</v>
      </c>
      <c r="N21" t="inlineStr">
        <is>
          <t>Bezahlt</t>
        </is>
      </c>
      <c r="O21" t="inlineStr">
        <is>
          <t>x</t>
        </is>
      </c>
      <c r="P21" t="inlineStr">
        <is>
          <t>x</t>
        </is>
      </c>
      <c r="Q21" t="inlineStr">
        <is>
          <t>x</t>
        </is>
      </c>
      <c r="S21" t="inlineStr">
        <is>
          <t>2026-04-12_Rechnung_E25_Rupprecht.pdf</t>
        </is>
      </c>
      <c r="T21" s="8">
        <f>HYPERLINK("https://artcas.sharepoint.com/sites/NEGAG/NEG_DMS/50_BUCHHALTUNG/E25/Verbindlichkeiten/2026/04/2026-04-12_Rechnung_E25_Rupprecht.pdf","Öffnen")</f>
        <v/>
      </c>
    </row>
    <row r="22">
      <c r="A22" t="inlineStr">
        <is>
          <t>INV-2026-1018</t>
        </is>
      </c>
      <c r="B22" t="inlineStr">
        <is>
          <t>RE-23419</t>
        </is>
      </c>
      <c r="C22" s="38" t="n">
        <v>46076</v>
      </c>
      <c r="D22" s="38" t="n">
        <v>46078</v>
      </c>
      <c r="E22" s="38" t="n">
        <v>46106</v>
      </c>
      <c r="F22" t="inlineStr">
        <is>
          <t>Veolia</t>
        </is>
      </c>
      <c r="G22" s="6">
        <f>IFERROR(INDEX(Kreditoren!$A:$A,MATCH(F22,Kreditoren!$B:$B,0)),"")</f>
        <v/>
      </c>
      <c r="H22" s="6">
        <f>IFERROR(INDEX(Kreditoren!$C:$C,MATCH(F22,Kreditoren!$B:$B,0)),"")</f>
        <v/>
      </c>
      <c r="I22" t="inlineStr">
        <is>
          <t>R100</t>
        </is>
      </c>
      <c r="J22" s="6">
        <f>IFERROR(INDEX(Projekte!$B:$B,MATCH(I22,Projekte!$A:$A,0)),"")</f>
        <v/>
      </c>
      <c r="K22" s="39" t="n">
        <v>529.78</v>
      </c>
      <c r="L22" s="39" t="n">
        <v>445.19</v>
      </c>
      <c r="M22" s="39" t="n">
        <v>84.59</v>
      </c>
      <c r="N22" t="inlineStr">
        <is>
          <t>Bezahlt</t>
        </is>
      </c>
      <c r="O22" t="inlineStr">
        <is>
          <t>x</t>
        </is>
      </c>
      <c r="P22" t="inlineStr">
        <is>
          <t>x</t>
        </is>
      </c>
      <c r="Q22" t="inlineStr">
        <is>
          <t>x</t>
        </is>
      </c>
      <c r="S22" t="inlineStr">
        <is>
          <t>2026-02-23_Rechnung_R100_Veolia.pdf</t>
        </is>
      </c>
      <c r="T22" s="8">
        <f>HYPERLINK("https://artcas.sharepoint.com/sites/NEGAG/NEG_DMS/50_BUCHHALTUNG/R100/Verbindlichkeiten/2026/02/2026-02-23_Rechnung_R100_Veolia.pdf","Öffnen")</f>
        <v/>
      </c>
    </row>
    <row r="23">
      <c r="A23" t="inlineStr">
        <is>
          <t>INV-2026-1019</t>
        </is>
      </c>
      <c r="B23" t="inlineStr">
        <is>
          <t>RE-19216</t>
        </is>
      </c>
      <c r="C23" s="38" t="n">
        <v>46061</v>
      </c>
      <c r="D23" s="38" t="n">
        <v>46062</v>
      </c>
      <c r="E23" s="38" t="n">
        <v>46091</v>
      </c>
      <c r="F23" t="inlineStr">
        <is>
          <t>Vodafone</t>
        </is>
      </c>
      <c r="G23" s="6">
        <f>IFERROR(INDEX(Kreditoren!$A:$A,MATCH(F23,Kreditoren!$B:$B,0)),"")</f>
        <v/>
      </c>
      <c r="H23" s="6">
        <f>IFERROR(INDEX(Kreditoren!$C:$C,MATCH(F23,Kreditoren!$B:$B,0)),"")</f>
        <v/>
      </c>
      <c r="I23" t="inlineStr">
        <is>
          <t>GF4</t>
        </is>
      </c>
      <c r="J23" s="6">
        <f>IFERROR(INDEX(Projekte!$B:$B,MATCH(I23,Projekte!$A:$A,0)),"")</f>
        <v/>
      </c>
      <c r="K23" s="39" t="n">
        <v>619.11</v>
      </c>
      <c r="L23" s="39" t="n">
        <v>520.26</v>
      </c>
      <c r="M23" s="39" t="n">
        <v>98.84999999999999</v>
      </c>
      <c r="N23" t="inlineStr">
        <is>
          <t>Bezahlt</t>
        </is>
      </c>
      <c r="O23" t="inlineStr">
        <is>
          <t>x</t>
        </is>
      </c>
      <c r="P23" t="inlineStr">
        <is>
          <t>x</t>
        </is>
      </c>
      <c r="Q23" t="inlineStr">
        <is>
          <t>x</t>
        </is>
      </c>
      <c r="S23" t="inlineStr">
        <is>
          <t>2026-02-08_Rechnung_GF4_Vodafone.pdf</t>
        </is>
      </c>
      <c r="T23" s="8">
        <f>HYPERLINK("https://artcas.sharepoint.com/sites/NEGAG/NEG_DMS/50_BUCHHALTUNG/GF4/Verbindlichkeiten/2026/02/2026-02-08_Rechnung_GF4_Vodafone.pdf","Öffnen")</f>
        <v/>
      </c>
    </row>
    <row r="24">
      <c r="A24" t="inlineStr">
        <is>
          <t>INV-2026-1020</t>
        </is>
      </c>
      <c r="B24" t="inlineStr">
        <is>
          <t>RE-72147</t>
        </is>
      </c>
      <c r="C24" s="38" t="n">
        <v>46119</v>
      </c>
      <c r="D24" s="38" t="n">
        <v>46122</v>
      </c>
      <c r="E24" s="38" t="n">
        <v>46133</v>
      </c>
      <c r="F24" t="inlineStr">
        <is>
          <t>Veolia</t>
        </is>
      </c>
      <c r="G24" s="6">
        <f>IFERROR(INDEX(Kreditoren!$A:$A,MATCH(F24,Kreditoren!$B:$B,0)),"")</f>
        <v/>
      </c>
      <c r="H24" s="6">
        <f>IFERROR(INDEX(Kreditoren!$C:$C,MATCH(F24,Kreditoren!$B:$B,0)),"")</f>
        <v/>
      </c>
      <c r="I24" t="inlineStr">
        <is>
          <t>GF4</t>
        </is>
      </c>
      <c r="J24" s="6">
        <f>IFERROR(INDEX(Projekte!$B:$B,MATCH(I24,Projekte!$A:$A,0)),"")</f>
        <v/>
      </c>
      <c r="K24" s="39" t="n">
        <v>3066.4</v>
      </c>
      <c r="L24" s="39" t="n">
        <v>2576.81</v>
      </c>
      <c r="M24" s="39" t="n">
        <v>489.59</v>
      </c>
      <c r="N24" t="inlineStr">
        <is>
          <t>Bezahlt</t>
        </is>
      </c>
      <c r="O24" t="inlineStr">
        <is>
          <t>x</t>
        </is>
      </c>
      <c r="P24" t="inlineStr">
        <is>
          <t>x</t>
        </is>
      </c>
      <c r="Q24" t="inlineStr">
        <is>
          <t>x</t>
        </is>
      </c>
      <c r="S24" t="inlineStr">
        <is>
          <t>2026-04-07_Rechnung_GF4_Veolia.pdf</t>
        </is>
      </c>
      <c r="T24" s="8">
        <f>HYPERLINK("https://artcas.sharepoint.com/sites/NEGAG/NEG_DMS/50_BUCHHALTUNG/GF4/Verbindlichkeiten/2026/04/2026-04-07_Rechnung_GF4_Veolia.pdf","Öffnen")</f>
        <v/>
      </c>
    </row>
    <row r="25">
      <c r="A25" t="inlineStr">
        <is>
          <t>INV-2026-1021</t>
        </is>
      </c>
      <c r="B25" t="inlineStr">
        <is>
          <t>RE-23393</t>
        </is>
      </c>
      <c r="C25" s="38" t="n">
        <v>46147</v>
      </c>
      <c r="D25" s="38" t="n">
        <v>46151</v>
      </c>
      <c r="E25" s="38" t="n">
        <v>46177</v>
      </c>
      <c r="F25" t="inlineStr">
        <is>
          <t>Telekom</t>
        </is>
      </c>
      <c r="G25" s="6">
        <f>IFERROR(INDEX(Kreditoren!$A:$A,MATCH(F25,Kreditoren!$B:$B,0)),"")</f>
        <v/>
      </c>
      <c r="H25" s="6">
        <f>IFERROR(INDEX(Kreditoren!$C:$C,MATCH(F25,Kreditoren!$B:$B,0)),"")</f>
        <v/>
      </c>
      <c r="I25" t="inlineStr">
        <is>
          <t>R100</t>
        </is>
      </c>
      <c r="J25" s="6">
        <f>IFERROR(INDEX(Projekte!$B:$B,MATCH(I25,Projekte!$A:$A,0)),"")</f>
        <v/>
      </c>
      <c r="K25" s="39" t="n">
        <v>337.72</v>
      </c>
      <c r="L25" s="39" t="n">
        <v>283.8</v>
      </c>
      <c r="M25" s="39" t="n">
        <v>53.92</v>
      </c>
      <c r="N25" t="inlineStr">
        <is>
          <t>Bezahlt</t>
        </is>
      </c>
      <c r="O25" t="inlineStr">
        <is>
          <t>x</t>
        </is>
      </c>
      <c r="P25" t="inlineStr">
        <is>
          <t>x</t>
        </is>
      </c>
      <c r="Q25" t="inlineStr">
        <is>
          <t>x</t>
        </is>
      </c>
      <c r="S25" t="inlineStr">
        <is>
          <t>2026-05-05_Rechnung_R100_Telekom.pdf</t>
        </is>
      </c>
      <c r="T25" s="8">
        <f>HYPERLINK("https://artcas.sharepoint.com/sites/NEGAG/NEG_DMS/50_BUCHHALTUNG/R100/Verbindlichkeiten/2026/05/2026-05-05_Rechnung_R100_Telekom.pdf","Öffnen")</f>
        <v/>
      </c>
    </row>
    <row r="26">
      <c r="A26" t="inlineStr">
        <is>
          <t>INV-2026-1022</t>
        </is>
      </c>
      <c r="B26" t="inlineStr">
        <is>
          <t>RE-79239</t>
        </is>
      </c>
      <c r="C26" s="38" t="n">
        <v>46090</v>
      </c>
      <c r="D26" s="38" t="n">
        <v>46092</v>
      </c>
      <c r="E26" s="38" t="n">
        <v>46120</v>
      </c>
      <c r="F26" t="inlineStr">
        <is>
          <t>Bundesanzeiger</t>
        </is>
      </c>
      <c r="G26" s="6">
        <f>IFERROR(INDEX(Kreditoren!$A:$A,MATCH(F26,Kreditoren!$B:$B,0)),"")</f>
        <v/>
      </c>
      <c r="H26" s="6">
        <f>IFERROR(INDEX(Kreditoren!$C:$C,MATCH(F26,Kreditoren!$B:$B,0)),"")</f>
        <v/>
      </c>
      <c r="I26" t="inlineStr">
        <is>
          <t>B8</t>
        </is>
      </c>
      <c r="J26" s="6">
        <f>IFERROR(INDEX(Projekte!$B:$B,MATCH(I26,Projekte!$A:$A,0)),"")</f>
        <v/>
      </c>
      <c r="K26" s="39" t="n">
        <v>840.65</v>
      </c>
      <c r="L26" s="39" t="n">
        <v>706.4299999999999</v>
      </c>
      <c r="M26" s="39" t="n">
        <v>134.22</v>
      </c>
      <c r="N26" t="inlineStr">
        <is>
          <t>Bezahlt</t>
        </is>
      </c>
      <c r="O26" t="inlineStr">
        <is>
          <t>x</t>
        </is>
      </c>
      <c r="P26" t="inlineStr">
        <is>
          <t>x</t>
        </is>
      </c>
      <c r="Q26" t="inlineStr">
        <is>
          <t>x</t>
        </is>
      </c>
      <c r="S26" t="inlineStr">
        <is>
          <t>2026-03-09_Rechnung_B8_Bundesanzeiger.pdf</t>
        </is>
      </c>
      <c r="T26" s="8">
        <f>HYPERLINK("https://artcas.sharepoint.com/sites/NEGAG/NEG_DMS/50_BUCHHALTUNG/B8/Verbindlichkeiten/2026/03/2026-03-09_Rechnung_B8_Bundesanzeiger.pdf","Öffnen")</f>
        <v/>
      </c>
    </row>
    <row r="27">
      <c r="A27" t="inlineStr">
        <is>
          <t>INV-2026-1023</t>
        </is>
      </c>
      <c r="B27" t="inlineStr">
        <is>
          <t>RE-31894</t>
        </is>
      </c>
      <c r="C27" s="38" t="n">
        <v>46162</v>
      </c>
      <c r="D27" s="38" t="n">
        <v>46165</v>
      </c>
      <c r="E27" s="38" t="n">
        <v>46176</v>
      </c>
      <c r="F27" t="inlineStr">
        <is>
          <t>Immoscout24</t>
        </is>
      </c>
      <c r="G27" s="6">
        <f>IFERROR(INDEX(Kreditoren!$A:$A,MATCH(F27,Kreditoren!$B:$B,0)),"")</f>
        <v/>
      </c>
      <c r="H27" s="6">
        <f>IFERROR(INDEX(Kreditoren!$C:$C,MATCH(F27,Kreditoren!$B:$B,0)),"")</f>
        <v/>
      </c>
      <c r="I27" t="inlineStr">
        <is>
          <t>HH</t>
        </is>
      </c>
      <c r="J27" s="6">
        <f>IFERROR(INDEX(Projekte!$B:$B,MATCH(I27,Projekte!$A:$A,0)),"")</f>
        <v/>
      </c>
      <c r="K27" s="39" t="n">
        <v>5094.66</v>
      </c>
      <c r="L27" s="39" t="n">
        <v>4281.23</v>
      </c>
      <c r="M27" s="39" t="n">
        <v>813.4299999999999</v>
      </c>
      <c r="N27" t="inlineStr">
        <is>
          <t>Offen</t>
        </is>
      </c>
      <c r="O27" t="inlineStr">
        <is>
          <t>x</t>
        </is>
      </c>
      <c r="P27" t="inlineStr">
        <is>
          <t>x</t>
        </is>
      </c>
      <c r="Q27" t="inlineStr">
        <is>
          <t>x</t>
        </is>
      </c>
      <c r="S27" t="inlineStr">
        <is>
          <t>2026-05-20_Rechnung_HH_Immoscout24.pdf</t>
        </is>
      </c>
      <c r="T27" s="8">
        <f>HYPERLINK("https://artcas.sharepoint.com/sites/NEGAG/NEG_DMS/50_BUCHHALTUNG/HH/Verbindlichkeiten/2026/05/2026-05-20_Rechnung_HH_Immoscout24.pdf","Öffnen")</f>
        <v/>
      </c>
    </row>
    <row r="28">
      <c r="A28" t="inlineStr">
        <is>
          <t>INV-2026-1024</t>
        </is>
      </c>
      <c r="B28" t="inlineStr">
        <is>
          <t>RE-35578</t>
        </is>
      </c>
      <c r="C28" s="38" t="n">
        <v>46159</v>
      </c>
      <c r="D28" s="38" t="n">
        <v>46162</v>
      </c>
      <c r="E28" s="38" t="n">
        <v>46189</v>
      </c>
      <c r="F28" t="inlineStr">
        <is>
          <t>Immoscout24</t>
        </is>
      </c>
      <c r="G28" s="6">
        <f>IFERROR(INDEX(Kreditoren!$A:$A,MATCH(F28,Kreditoren!$B:$B,0)),"")</f>
        <v/>
      </c>
      <c r="H28" s="6">
        <f>IFERROR(INDEX(Kreditoren!$C:$C,MATCH(F28,Kreditoren!$B:$B,0)),"")</f>
        <v/>
      </c>
      <c r="I28" t="inlineStr">
        <is>
          <t>HR</t>
        </is>
      </c>
      <c r="J28" s="6">
        <f>IFERROR(INDEX(Projekte!$B:$B,MATCH(I28,Projekte!$A:$A,0)),"")</f>
        <v/>
      </c>
      <c r="K28" s="39" t="n">
        <v>3418.57</v>
      </c>
      <c r="L28" s="39" t="n">
        <v>2872.75</v>
      </c>
      <c r="M28" s="39" t="n">
        <v>545.8200000000001</v>
      </c>
      <c r="N28" t="inlineStr">
        <is>
          <t>Offen</t>
        </is>
      </c>
      <c r="O28" t="inlineStr">
        <is>
          <t>x</t>
        </is>
      </c>
      <c r="S28" t="inlineStr">
        <is>
          <t>2026-05-17_Rechnung_HR_Immoscout24.pdf</t>
        </is>
      </c>
      <c r="T28" s="8">
        <f>HYPERLINK("https://artcas.sharepoint.com/sites/NEGAG/NEG_DMS/50_BUCHHALTUNG/HR/Verbindlichkeiten/2026/05/2026-05-17_Rechnung_HR_Immoscout24.pdf","Öffnen")</f>
        <v/>
      </c>
    </row>
    <row r="29">
      <c r="A29" t="inlineStr">
        <is>
          <t>INV-2026-1025</t>
        </is>
      </c>
      <c r="B29" t="inlineStr">
        <is>
          <t>RE-13661</t>
        </is>
      </c>
      <c r="C29" s="38" t="n">
        <v>46081</v>
      </c>
      <c r="D29" s="38" t="n">
        <v>46085</v>
      </c>
      <c r="E29" s="38" t="n">
        <v>46095</v>
      </c>
      <c r="F29" t="inlineStr">
        <is>
          <t>Veolia</t>
        </is>
      </c>
      <c r="G29" s="6">
        <f>IFERROR(INDEX(Kreditoren!$A:$A,MATCH(F29,Kreditoren!$B:$B,0)),"")</f>
        <v/>
      </c>
      <c r="H29" s="6">
        <f>IFERROR(INDEX(Kreditoren!$C:$C,MATCH(F29,Kreditoren!$B:$B,0)),"")</f>
        <v/>
      </c>
      <c r="I29" t="inlineStr">
        <is>
          <t>E25</t>
        </is>
      </c>
      <c r="J29" s="6">
        <f>IFERROR(INDEX(Projekte!$B:$B,MATCH(I29,Projekte!$A:$A,0)),"")</f>
        <v/>
      </c>
      <c r="K29" s="39" t="n">
        <v>1266.69</v>
      </c>
      <c r="L29" s="39" t="n">
        <v>1064.45</v>
      </c>
      <c r="M29" s="39" t="n">
        <v>202.24</v>
      </c>
      <c r="N29" t="inlineStr">
        <is>
          <t>Bezahlt</t>
        </is>
      </c>
      <c r="O29" t="inlineStr">
        <is>
          <t>x</t>
        </is>
      </c>
      <c r="P29" t="inlineStr">
        <is>
          <t>x</t>
        </is>
      </c>
      <c r="Q29" t="inlineStr">
        <is>
          <t>x</t>
        </is>
      </c>
      <c r="S29" t="inlineStr">
        <is>
          <t>2026-02-28_Rechnung_E25_Veolia.pdf</t>
        </is>
      </c>
      <c r="T29" s="8">
        <f>HYPERLINK("https://artcas.sharepoint.com/sites/NEGAG/NEG_DMS/50_BUCHHALTUNG/E25/Verbindlichkeiten/2026/02/2026-02-28_Rechnung_E25_Veolia.pdf","Öffnen")</f>
        <v/>
      </c>
    </row>
    <row r="30">
      <c r="A30" t="inlineStr">
        <is>
          <t>INV-2026-1026</t>
        </is>
      </c>
      <c r="B30" t="inlineStr">
        <is>
          <t>RE-57793</t>
        </is>
      </c>
      <c r="C30" s="38" t="n">
        <v>46089</v>
      </c>
      <c r="D30" s="38" t="n">
        <v>46092</v>
      </c>
      <c r="E30" s="38" t="n">
        <v>46103</v>
      </c>
      <c r="F30" t="inlineStr">
        <is>
          <t>Google</t>
        </is>
      </c>
      <c r="G30" s="6">
        <f>IFERROR(INDEX(Kreditoren!$A:$A,MATCH(F30,Kreditoren!$B:$B,0)),"")</f>
        <v/>
      </c>
      <c r="H30" s="6">
        <f>IFERROR(INDEX(Kreditoren!$C:$C,MATCH(F30,Kreditoren!$B:$B,0)),"")</f>
        <v/>
      </c>
      <c r="I30" t="inlineStr">
        <is>
          <t>TG</t>
        </is>
      </c>
      <c r="J30" s="6">
        <f>IFERROR(INDEX(Projekte!$B:$B,MATCH(I30,Projekte!$A:$A,0)),"")</f>
        <v/>
      </c>
      <c r="K30" s="39" t="n">
        <v>2491.42</v>
      </c>
      <c r="L30" s="39" t="n">
        <v>2093.63</v>
      </c>
      <c r="M30" s="39" t="n">
        <v>397.79</v>
      </c>
      <c r="N30" t="inlineStr">
        <is>
          <t>Offen</t>
        </is>
      </c>
      <c r="S30" t="inlineStr">
        <is>
          <t>2026-03-08_Rechnung_TG_Google.pdf</t>
        </is>
      </c>
      <c r="T30" s="8">
        <f>HYPERLINK("https://artcas.sharepoint.com/sites/NEGAG/NEG_DMS/50_BUCHHALTUNG/TG/Verbindlichkeiten/2026/03/2026-03-08_Rechnung_TG_Google.pdf","Öffnen")</f>
        <v/>
      </c>
    </row>
    <row r="31">
      <c r="A31" t="inlineStr">
        <is>
          <t>INV-2026-1027</t>
        </is>
      </c>
      <c r="B31" t="inlineStr">
        <is>
          <t>RE-91797</t>
        </is>
      </c>
      <c r="C31" s="38" t="n">
        <v>46049</v>
      </c>
      <c r="D31" s="38" t="n">
        <v>46053</v>
      </c>
      <c r="E31" s="38" t="n">
        <v>46063</v>
      </c>
      <c r="F31" t="inlineStr">
        <is>
          <t>Telekom</t>
        </is>
      </c>
      <c r="G31" s="6">
        <f>IFERROR(INDEX(Kreditoren!$A:$A,MATCH(F31,Kreditoren!$B:$B,0)),"")</f>
        <v/>
      </c>
      <c r="H31" s="6">
        <f>IFERROR(INDEX(Kreditoren!$C:$C,MATCH(F31,Kreditoren!$B:$B,0)),"")</f>
        <v/>
      </c>
      <c r="I31" t="inlineStr">
        <is>
          <t>HR</t>
        </is>
      </c>
      <c r="J31" s="6">
        <f>IFERROR(INDEX(Projekte!$B:$B,MATCH(I31,Projekte!$A:$A,0)),"")</f>
        <v/>
      </c>
      <c r="K31" s="39" t="n">
        <v>164.01</v>
      </c>
      <c r="L31" s="39" t="n">
        <v>137.82</v>
      </c>
      <c r="M31" s="39" t="n">
        <v>26.19</v>
      </c>
      <c r="N31" t="inlineStr">
        <is>
          <t>Bezahlt</t>
        </is>
      </c>
      <c r="O31" t="inlineStr">
        <is>
          <t>x</t>
        </is>
      </c>
      <c r="P31" t="inlineStr">
        <is>
          <t>x</t>
        </is>
      </c>
      <c r="Q31" t="inlineStr">
        <is>
          <t>x</t>
        </is>
      </c>
      <c r="S31" t="inlineStr">
        <is>
          <t>2026-01-27_Rechnung_HR_Telekom.pdf</t>
        </is>
      </c>
      <c r="T31" s="8">
        <f>HYPERLINK("https://artcas.sharepoint.com/sites/NEGAG/NEG_DMS/50_BUCHHALTUNG/HR/Verbindlichkeiten/2026/01/2026-01-27_Rechnung_HR_Telekom.pdf","Öffnen")</f>
        <v/>
      </c>
    </row>
    <row r="32">
      <c r="A32" t="inlineStr">
        <is>
          <t>INV-2026-1028</t>
        </is>
      </c>
      <c r="B32" t="inlineStr">
        <is>
          <t>RE-96584</t>
        </is>
      </c>
      <c r="C32" s="38" t="n">
        <v>46145</v>
      </c>
      <c r="D32" s="38" t="n">
        <v>46148</v>
      </c>
      <c r="E32" s="38" t="n">
        <v>46175</v>
      </c>
      <c r="F32" t="inlineStr">
        <is>
          <t>Schlosser</t>
        </is>
      </c>
      <c r="G32" s="6">
        <f>IFERROR(INDEX(Kreditoren!$A:$A,MATCH(F32,Kreditoren!$B:$B,0)),"")</f>
        <v/>
      </c>
      <c r="H32" s="6">
        <f>IFERROR(INDEX(Kreditoren!$C:$C,MATCH(F32,Kreditoren!$B:$B,0)),"")</f>
        <v/>
      </c>
      <c r="I32" t="inlineStr">
        <is>
          <t>B69</t>
        </is>
      </c>
      <c r="J32" s="6">
        <f>IFERROR(INDEX(Projekte!$B:$B,MATCH(I32,Projekte!$A:$A,0)),"")</f>
        <v/>
      </c>
      <c r="K32" s="39" t="n">
        <v>11295.19</v>
      </c>
      <c r="L32" s="39" t="n">
        <v>9491.76</v>
      </c>
      <c r="M32" s="39" t="n">
        <v>1803.43</v>
      </c>
      <c r="N32" t="inlineStr">
        <is>
          <t>Bezahlt</t>
        </is>
      </c>
      <c r="O32" t="inlineStr">
        <is>
          <t>x</t>
        </is>
      </c>
      <c r="P32" t="inlineStr">
        <is>
          <t>x</t>
        </is>
      </c>
      <c r="Q32" t="inlineStr">
        <is>
          <t>x</t>
        </is>
      </c>
      <c r="S32" t="inlineStr">
        <is>
          <t>2026-05-03_Rechnung_B69_Schlosser.pdf</t>
        </is>
      </c>
      <c r="T32" s="8">
        <f>HYPERLINK("https://artcas.sharepoint.com/sites/NEGAG/NEG_DMS/50_BUCHHALTUNG/B69/Verbindlichkeiten/2026/05/2026-05-03_Rechnung_B69_Schlosser.pdf","Öffnen")</f>
        <v/>
      </c>
    </row>
    <row r="33">
      <c r="A33" t="inlineStr">
        <is>
          <t>INV-2026-1029</t>
        </is>
      </c>
      <c r="B33" t="inlineStr">
        <is>
          <t>RE-21370</t>
        </is>
      </c>
      <c r="C33" s="38" t="n">
        <v>46074</v>
      </c>
      <c r="D33" s="38" t="n">
        <v>46076</v>
      </c>
      <c r="E33" s="38" t="n">
        <v>46104</v>
      </c>
      <c r="F33" t="inlineStr">
        <is>
          <t>Telekom</t>
        </is>
      </c>
      <c r="G33" s="6">
        <f>IFERROR(INDEX(Kreditoren!$A:$A,MATCH(F33,Kreditoren!$B:$B,0)),"")</f>
        <v/>
      </c>
      <c r="H33" s="6">
        <f>IFERROR(INDEX(Kreditoren!$C:$C,MATCH(F33,Kreditoren!$B:$B,0)),"")</f>
        <v/>
      </c>
      <c r="I33" t="inlineStr">
        <is>
          <t>E25</t>
        </is>
      </c>
      <c r="J33" s="6">
        <f>IFERROR(INDEX(Projekte!$B:$B,MATCH(I33,Projekte!$A:$A,0)),"")</f>
        <v/>
      </c>
      <c r="K33" s="39" t="n">
        <v>307.52</v>
      </c>
      <c r="L33" s="39" t="n">
        <v>258.42</v>
      </c>
      <c r="M33" s="39" t="n">
        <v>49.1</v>
      </c>
      <c r="N33" t="inlineStr">
        <is>
          <t>Bezahlt</t>
        </is>
      </c>
      <c r="O33" t="inlineStr">
        <is>
          <t>x</t>
        </is>
      </c>
      <c r="P33" t="inlineStr">
        <is>
          <t>x</t>
        </is>
      </c>
      <c r="Q33" t="inlineStr">
        <is>
          <t>x</t>
        </is>
      </c>
      <c r="S33" t="inlineStr">
        <is>
          <t>2026-02-21_Rechnung_E25_Telekom.pdf</t>
        </is>
      </c>
      <c r="T33" s="8">
        <f>HYPERLINK("https://artcas.sharepoint.com/sites/NEGAG/NEG_DMS/50_BUCHHALTUNG/E25/Verbindlichkeiten/2026/02/2026-02-21_Rechnung_E25_Telekom.pdf","Öffnen")</f>
        <v/>
      </c>
    </row>
    <row r="34">
      <c r="A34" t="inlineStr">
        <is>
          <t>INV-2026-1030</t>
        </is>
      </c>
      <c r="B34" t="inlineStr">
        <is>
          <t>RE-26651</t>
        </is>
      </c>
      <c r="C34" s="38" t="n">
        <v>46141</v>
      </c>
      <c r="D34" s="38" t="n">
        <v>46142</v>
      </c>
      <c r="E34" s="38" t="n">
        <v>46171</v>
      </c>
      <c r="F34" t="inlineStr">
        <is>
          <t>Bundesanzeiger</t>
        </is>
      </c>
      <c r="G34" s="6">
        <f>IFERROR(INDEX(Kreditoren!$A:$A,MATCH(F34,Kreditoren!$B:$B,0)),"")</f>
        <v/>
      </c>
      <c r="H34" s="6">
        <f>IFERROR(INDEX(Kreditoren!$C:$C,MATCH(F34,Kreditoren!$B:$B,0)),"")</f>
        <v/>
      </c>
      <c r="I34" t="inlineStr">
        <is>
          <t>E25</t>
        </is>
      </c>
      <c r="J34" s="6">
        <f>IFERROR(INDEX(Projekte!$B:$B,MATCH(I34,Projekte!$A:$A,0)),"")</f>
        <v/>
      </c>
      <c r="K34" s="39" t="n">
        <v>1167.93</v>
      </c>
      <c r="L34" s="39" t="n">
        <v>981.45</v>
      </c>
      <c r="M34" s="39" t="n">
        <v>186.48</v>
      </c>
      <c r="N34" t="inlineStr">
        <is>
          <t>Bezahlt</t>
        </is>
      </c>
      <c r="O34" t="inlineStr">
        <is>
          <t>x</t>
        </is>
      </c>
      <c r="P34" t="inlineStr">
        <is>
          <t>x</t>
        </is>
      </c>
      <c r="Q34" t="inlineStr">
        <is>
          <t>x</t>
        </is>
      </c>
      <c r="S34" t="inlineStr">
        <is>
          <t>2026-04-29_Rechnung_E25_Bundesanzeiger.pdf</t>
        </is>
      </c>
      <c r="T34" s="8">
        <f>HYPERLINK("https://artcas.sharepoint.com/sites/NEGAG/NEG_DMS/50_BUCHHALTUNG/E25/Verbindlichkeiten/2026/04/2026-04-29_Rechnung_E25_Bundesanzeiger.pdf","Öffnen")</f>
        <v/>
      </c>
    </row>
    <row r="35">
      <c r="A35" t="inlineStr">
        <is>
          <t>INV-2026-1031</t>
        </is>
      </c>
      <c r="B35" t="inlineStr">
        <is>
          <t>RE-30435</t>
        </is>
      </c>
      <c r="C35" s="38" t="n">
        <v>46174</v>
      </c>
      <c r="D35" s="38" t="n">
        <v>46176</v>
      </c>
      <c r="E35" s="38" t="n">
        <v>46204</v>
      </c>
      <c r="F35" t="inlineStr">
        <is>
          <t>Vodafone</t>
        </is>
      </c>
      <c r="G35" s="6">
        <f>IFERROR(INDEX(Kreditoren!$A:$A,MATCH(F35,Kreditoren!$B:$B,0)),"")</f>
        <v/>
      </c>
      <c r="H35" s="6">
        <f>IFERROR(INDEX(Kreditoren!$C:$C,MATCH(F35,Kreditoren!$B:$B,0)),"")</f>
        <v/>
      </c>
      <c r="I35" t="inlineStr">
        <is>
          <t>HH</t>
        </is>
      </c>
      <c r="J35" s="6">
        <f>IFERROR(INDEX(Projekte!$B:$B,MATCH(I35,Projekte!$A:$A,0)),"")</f>
        <v/>
      </c>
      <c r="K35" s="39" t="n">
        <v>415</v>
      </c>
      <c r="L35" s="39" t="n">
        <v>348.74</v>
      </c>
      <c r="M35" s="39" t="n">
        <v>66.26000000000001</v>
      </c>
      <c r="N35" t="inlineStr">
        <is>
          <t>Offen</t>
        </is>
      </c>
      <c r="O35" t="inlineStr">
        <is>
          <t>x</t>
        </is>
      </c>
      <c r="S35" t="inlineStr">
        <is>
          <t>2026-06-01_Rechnung_HH_Vodafone.pdf</t>
        </is>
      </c>
      <c r="T35" s="8">
        <f>HYPERLINK("https://artcas.sharepoint.com/sites/NEGAG/NEG_DMS/50_BUCHHALTUNG/HH/Verbindlichkeiten/2026/06/2026-06-01_Rechnung_HH_Vodafone.pdf","Öffnen")</f>
        <v/>
      </c>
    </row>
    <row r="36">
      <c r="A36" t="inlineStr">
        <is>
          <t>INV-2026-1032</t>
        </is>
      </c>
      <c r="B36" t="inlineStr">
        <is>
          <t>RE-23470</t>
        </is>
      </c>
      <c r="C36" s="38" t="n">
        <v>46056</v>
      </c>
      <c r="D36" s="38" t="n">
        <v>46057</v>
      </c>
      <c r="E36" s="38" t="n">
        <v>46070</v>
      </c>
      <c r="F36" t="inlineStr">
        <is>
          <t>Rupprecht</t>
        </is>
      </c>
      <c r="G36" s="6">
        <f>IFERROR(INDEX(Kreditoren!$A:$A,MATCH(F36,Kreditoren!$B:$B,0)),"")</f>
        <v/>
      </c>
      <c r="H36" s="6">
        <f>IFERROR(INDEX(Kreditoren!$C:$C,MATCH(F36,Kreditoren!$B:$B,0)),"")</f>
        <v/>
      </c>
      <c r="I36" t="inlineStr">
        <is>
          <t>GD15</t>
        </is>
      </c>
      <c r="J36" s="6">
        <f>IFERROR(INDEX(Projekte!$B:$B,MATCH(I36,Projekte!$A:$A,0)),"")</f>
        <v/>
      </c>
      <c r="K36" s="39" t="n">
        <v>11291.32</v>
      </c>
      <c r="L36" s="39" t="n">
        <v>9488.5</v>
      </c>
      <c r="M36" s="39" t="n">
        <v>1802.82</v>
      </c>
      <c r="N36" t="inlineStr">
        <is>
          <t>Bezahlt</t>
        </is>
      </c>
      <c r="O36" t="inlineStr">
        <is>
          <t>x</t>
        </is>
      </c>
      <c r="P36" t="inlineStr">
        <is>
          <t>x</t>
        </is>
      </c>
      <c r="Q36" t="inlineStr">
        <is>
          <t>x</t>
        </is>
      </c>
      <c r="S36" t="inlineStr">
        <is>
          <t>2026-02-03_Rechnung_GD15_Rupprecht.pdf</t>
        </is>
      </c>
      <c r="T36" s="8">
        <f>HYPERLINK("https://artcas.sharepoint.com/sites/NEGAG/NEG_DMS/50_BUCHHALTUNG/GD15/Verbindlichkeiten/2026/02/2026-02-03_Rechnung_GD15_Rupprecht.pdf","Öffnen")</f>
        <v/>
      </c>
    </row>
    <row r="37">
      <c r="A37" t="inlineStr">
        <is>
          <t>INV-2026-1033</t>
        </is>
      </c>
      <c r="B37" t="inlineStr">
        <is>
          <t>RE-43008</t>
        </is>
      </c>
      <c r="C37" s="38" t="n">
        <v>46058</v>
      </c>
      <c r="D37" s="38" t="n">
        <v>46060</v>
      </c>
      <c r="E37" s="38" t="n">
        <v>46088</v>
      </c>
      <c r="F37" t="inlineStr">
        <is>
          <t>Rupprecht</t>
        </is>
      </c>
      <c r="G37" s="6">
        <f>IFERROR(INDEX(Kreditoren!$A:$A,MATCH(F37,Kreditoren!$B:$B,0)),"")</f>
        <v/>
      </c>
      <c r="H37" s="6">
        <f>IFERROR(INDEX(Kreditoren!$C:$C,MATCH(F37,Kreditoren!$B:$B,0)),"")</f>
        <v/>
      </c>
      <c r="I37" t="inlineStr">
        <is>
          <t>AFL</t>
        </is>
      </c>
      <c r="J37" s="6">
        <f>IFERROR(INDEX(Projekte!$B:$B,MATCH(I37,Projekte!$A:$A,0)),"")</f>
        <v/>
      </c>
      <c r="K37" s="39" t="n">
        <v>11653.1</v>
      </c>
      <c r="L37" s="39" t="n">
        <v>9792.52</v>
      </c>
      <c r="M37" s="39" t="n">
        <v>1860.58</v>
      </c>
      <c r="N37" t="inlineStr">
        <is>
          <t>Bezahlt</t>
        </is>
      </c>
      <c r="O37" t="inlineStr">
        <is>
          <t>x</t>
        </is>
      </c>
      <c r="P37" t="inlineStr">
        <is>
          <t>x</t>
        </is>
      </c>
      <c r="Q37" t="inlineStr">
        <is>
          <t>x</t>
        </is>
      </c>
      <c r="S37" t="inlineStr">
        <is>
          <t>2026-02-05_Rechnung_AFL_Rupprecht.pdf</t>
        </is>
      </c>
      <c r="T37" s="8">
        <f>HYPERLINK("https://artcas.sharepoint.com/sites/NEGAG/NEG_DMS/50_BUCHHALTUNG/AFL/Verbindlichkeiten/2026/02/2026-02-05_Rechnung_AFL_Rupprecht.pdf","Öffnen")</f>
        <v/>
      </c>
    </row>
    <row r="38">
      <c r="A38" t="inlineStr">
        <is>
          <t>INV-2026-1034</t>
        </is>
      </c>
      <c r="B38" t="inlineStr">
        <is>
          <t>RE-56371</t>
        </is>
      </c>
      <c r="C38" s="38" t="n">
        <v>46151</v>
      </c>
      <c r="D38" s="38" t="n">
        <v>46154</v>
      </c>
      <c r="E38" s="38" t="n">
        <v>46165</v>
      </c>
      <c r="F38" t="inlineStr">
        <is>
          <t>Veolia</t>
        </is>
      </c>
      <c r="G38" s="6">
        <f>IFERROR(INDEX(Kreditoren!$A:$A,MATCH(F38,Kreditoren!$B:$B,0)),"")</f>
        <v/>
      </c>
      <c r="H38" s="6">
        <f>IFERROR(INDEX(Kreditoren!$C:$C,MATCH(F38,Kreditoren!$B:$B,0)),"")</f>
        <v/>
      </c>
      <c r="I38" t="inlineStr">
        <is>
          <t>T42</t>
        </is>
      </c>
      <c r="J38" s="6">
        <f>IFERROR(INDEX(Projekte!$B:$B,MATCH(I38,Projekte!$A:$A,0)),"")</f>
        <v/>
      </c>
      <c r="K38" s="39" t="n">
        <v>978.09</v>
      </c>
      <c r="L38" s="39" t="n">
        <v>821.92</v>
      </c>
      <c r="M38" s="39" t="n">
        <v>156.17</v>
      </c>
      <c r="N38" t="inlineStr">
        <is>
          <t>Offen</t>
        </is>
      </c>
      <c r="O38" t="inlineStr">
        <is>
          <t>x</t>
        </is>
      </c>
      <c r="S38" t="inlineStr">
        <is>
          <t>2026-05-09_Rechnung_T42_Veolia.pdf</t>
        </is>
      </c>
      <c r="T38" s="8">
        <f>HYPERLINK("https://artcas.sharepoint.com/sites/NEGAG/NEG_DMS/50_BUCHHALTUNG/T42/Verbindlichkeiten/2026/05/2026-05-09_Rechnung_T42_Veolia.pdf","Öffnen")</f>
        <v/>
      </c>
    </row>
    <row r="39">
      <c r="A39" t="inlineStr">
        <is>
          <t>INV-2026-1035</t>
        </is>
      </c>
      <c r="B39" t="inlineStr">
        <is>
          <t>RE-67688</t>
        </is>
      </c>
      <c r="C39" s="38" t="n">
        <v>46172</v>
      </c>
      <c r="D39" s="38" t="n">
        <v>46176</v>
      </c>
      <c r="E39" s="38" t="n">
        <v>46202</v>
      </c>
      <c r="F39" t="inlineStr">
        <is>
          <t>Neue Medien Muennich</t>
        </is>
      </c>
      <c r="G39" s="6">
        <f>IFERROR(INDEX(Kreditoren!$A:$A,MATCH(F39,Kreditoren!$B:$B,0)),"")</f>
        <v/>
      </c>
      <c r="H39" s="6">
        <f>IFERROR(INDEX(Kreditoren!$C:$C,MATCH(F39,Kreditoren!$B:$B,0)),"")</f>
        <v/>
      </c>
      <c r="I39" t="inlineStr">
        <is>
          <t>Z1</t>
        </is>
      </c>
      <c r="J39" s="6">
        <f>IFERROR(INDEX(Projekte!$B:$B,MATCH(I39,Projekte!$A:$A,0)),"")</f>
        <v/>
      </c>
      <c r="K39" s="39" t="n">
        <v>747.88</v>
      </c>
      <c r="L39" s="39" t="n">
        <v>628.47</v>
      </c>
      <c r="M39" s="39" t="n">
        <v>119.41</v>
      </c>
      <c r="N39" t="inlineStr">
        <is>
          <t>Offen</t>
        </is>
      </c>
      <c r="O39" t="inlineStr">
        <is>
          <t>x</t>
        </is>
      </c>
      <c r="P39" t="inlineStr">
        <is>
          <t>x</t>
        </is>
      </c>
      <c r="S39" t="inlineStr">
        <is>
          <t>2026-05-30_Rechnung_Z1_Neue-Medien-Muennich.pdf</t>
        </is>
      </c>
      <c r="T39" s="8">
        <f>HYPERLINK("https://artcas.sharepoint.com/sites/NEGAG/NEG_DMS/50_BUCHHALTUNG/Z1/Verbindlichkeiten/2026/05/2026-05-30_Rechnung_Z1_Neue-Medien-Muennich.pdf","Öffnen")</f>
        <v/>
      </c>
    </row>
    <row r="40">
      <c r="A40" t="inlineStr">
        <is>
          <t>INV-2026-1036</t>
        </is>
      </c>
      <c r="B40" t="inlineStr">
        <is>
          <t>RE-25772</t>
        </is>
      </c>
      <c r="C40" s="38" t="n">
        <v>46024</v>
      </c>
      <c r="D40" s="38" t="n">
        <v>46026</v>
      </c>
      <c r="E40" s="38" t="n">
        <v>46038</v>
      </c>
      <c r="F40" t="inlineStr">
        <is>
          <t>Stadtwerke Leipzig</t>
        </is>
      </c>
      <c r="G40" s="6">
        <f>IFERROR(INDEX(Kreditoren!$A:$A,MATCH(F40,Kreditoren!$B:$B,0)),"")</f>
        <v/>
      </c>
      <c r="H40" s="6">
        <f>IFERROR(INDEX(Kreditoren!$C:$C,MATCH(F40,Kreditoren!$B:$B,0)),"")</f>
        <v/>
      </c>
      <c r="I40" t="inlineStr">
        <is>
          <t>GF4</t>
        </is>
      </c>
      <c r="J40" s="6">
        <f>IFERROR(INDEX(Projekte!$B:$B,MATCH(I40,Projekte!$A:$A,0)),"")</f>
        <v/>
      </c>
      <c r="K40" s="39" t="n">
        <v>624.6799999999999</v>
      </c>
      <c r="L40" s="39" t="n">
        <v>524.9400000000001</v>
      </c>
      <c r="M40" s="39" t="n">
        <v>99.73999999999999</v>
      </c>
      <c r="N40" t="inlineStr">
        <is>
          <t>Bezahlt</t>
        </is>
      </c>
      <c r="O40" t="inlineStr">
        <is>
          <t>x</t>
        </is>
      </c>
      <c r="P40" t="inlineStr">
        <is>
          <t>x</t>
        </is>
      </c>
      <c r="Q40" t="inlineStr">
        <is>
          <t>x</t>
        </is>
      </c>
      <c r="S40" t="inlineStr">
        <is>
          <t>2026-01-02_Rechnung_GF4_Stadtwerke-Leipzig.pdf</t>
        </is>
      </c>
      <c r="T40" s="8">
        <f>HYPERLINK("https://artcas.sharepoint.com/sites/NEGAG/NEG_DMS/50_BUCHHALTUNG/GF4/Verbindlichkeiten/2026/01/2026-01-02_Rechnung_GF4_Stadtwerke-Leipzig.pdf","Öffnen")</f>
        <v/>
      </c>
    </row>
    <row r="41">
      <c r="A41" t="inlineStr">
        <is>
          <t>INV-2026-1037</t>
        </is>
      </c>
      <c r="B41" t="inlineStr">
        <is>
          <t>RE-83439</t>
        </is>
      </c>
      <c r="C41" s="38" t="n">
        <v>46106</v>
      </c>
      <c r="D41" s="38" t="n">
        <v>46110</v>
      </c>
      <c r="E41" s="38" t="n">
        <v>46136</v>
      </c>
      <c r="F41" t="inlineStr">
        <is>
          <t>Rupprecht</t>
        </is>
      </c>
      <c r="G41" s="6">
        <f>IFERROR(INDEX(Kreditoren!$A:$A,MATCH(F41,Kreditoren!$B:$B,0)),"")</f>
        <v/>
      </c>
      <c r="H41" s="6">
        <f>IFERROR(INDEX(Kreditoren!$C:$C,MATCH(F41,Kreditoren!$B:$B,0)),"")</f>
        <v/>
      </c>
      <c r="I41" t="inlineStr">
        <is>
          <t>B69</t>
        </is>
      </c>
      <c r="J41" s="6">
        <f>IFERROR(INDEX(Projekte!$B:$B,MATCH(I41,Projekte!$A:$A,0)),"")</f>
        <v/>
      </c>
      <c r="K41" s="39" t="n">
        <v>11087.68</v>
      </c>
      <c r="L41" s="39" t="n">
        <v>9317.379999999999</v>
      </c>
      <c r="M41" s="39" t="n">
        <v>1770.3</v>
      </c>
      <c r="N41" t="inlineStr">
        <is>
          <t>Bezahlt</t>
        </is>
      </c>
      <c r="O41" t="inlineStr">
        <is>
          <t>x</t>
        </is>
      </c>
      <c r="P41" t="inlineStr">
        <is>
          <t>x</t>
        </is>
      </c>
      <c r="Q41" t="inlineStr">
        <is>
          <t>x</t>
        </is>
      </c>
      <c r="S41" t="inlineStr">
        <is>
          <t>2026-03-25_Rechnung_B69_Rupprecht.pdf</t>
        </is>
      </c>
      <c r="T41" s="8">
        <f>HYPERLINK("https://artcas.sharepoint.com/sites/NEGAG/NEG_DMS/50_BUCHHALTUNG/B69/Verbindlichkeiten/2026/03/2026-03-25_Rechnung_B69_Rupprecht.pdf","Öffnen")</f>
        <v/>
      </c>
    </row>
    <row r="42">
      <c r="A42" t="inlineStr">
        <is>
          <t>INV-2026-1038</t>
        </is>
      </c>
      <c r="B42" t="inlineStr">
        <is>
          <t>RE-83626</t>
        </is>
      </c>
      <c r="C42" s="38" t="n">
        <v>46071</v>
      </c>
      <c r="D42" s="38" t="n">
        <v>46072</v>
      </c>
      <c r="E42" s="38" t="n">
        <v>46101</v>
      </c>
      <c r="F42" t="inlineStr">
        <is>
          <t>Vodafone</t>
        </is>
      </c>
      <c r="G42" s="6">
        <f>IFERROR(INDEX(Kreditoren!$A:$A,MATCH(F42,Kreditoren!$B:$B,0)),"")</f>
        <v/>
      </c>
      <c r="H42" s="6">
        <f>IFERROR(INDEX(Kreditoren!$C:$C,MATCH(F42,Kreditoren!$B:$B,0)),"")</f>
        <v/>
      </c>
      <c r="I42" t="inlineStr">
        <is>
          <t>HR</t>
        </is>
      </c>
      <c r="J42" s="6">
        <f>IFERROR(INDEX(Projekte!$B:$B,MATCH(I42,Projekte!$A:$A,0)),"")</f>
        <v/>
      </c>
      <c r="K42" s="39" t="n">
        <v>512.22</v>
      </c>
      <c r="L42" s="39" t="n">
        <v>430.44</v>
      </c>
      <c r="M42" s="39" t="n">
        <v>81.78</v>
      </c>
      <c r="N42" t="inlineStr">
        <is>
          <t>Bezahlt</t>
        </is>
      </c>
      <c r="O42" t="inlineStr">
        <is>
          <t>x</t>
        </is>
      </c>
      <c r="P42" t="inlineStr">
        <is>
          <t>x</t>
        </is>
      </c>
      <c r="Q42" t="inlineStr">
        <is>
          <t>x</t>
        </is>
      </c>
      <c r="S42" t="inlineStr">
        <is>
          <t>2026-02-18_Rechnung_HR_Vodafone.pdf</t>
        </is>
      </c>
      <c r="T42" s="8">
        <f>HYPERLINK("https://artcas.sharepoint.com/sites/NEGAG/NEG_DMS/50_BUCHHALTUNG/HR/Verbindlichkeiten/2026/02/2026-02-18_Rechnung_HR_Vodafone.pdf","Öffnen")</f>
        <v/>
      </c>
    </row>
    <row r="43">
      <c r="A43" t="inlineStr">
        <is>
          <t>INV-2026-1039</t>
        </is>
      </c>
      <c r="B43" t="inlineStr">
        <is>
          <t>RE-79898</t>
        </is>
      </c>
      <c r="C43" s="38" t="n">
        <v>46136</v>
      </c>
      <c r="D43" s="38" t="n">
        <v>46138</v>
      </c>
      <c r="E43" s="38" t="n">
        <v>46166</v>
      </c>
      <c r="F43" t="inlineStr">
        <is>
          <t>Vodafone</t>
        </is>
      </c>
      <c r="G43" s="6">
        <f>IFERROR(INDEX(Kreditoren!$A:$A,MATCH(F43,Kreditoren!$B:$B,0)),"")</f>
        <v/>
      </c>
      <c r="H43" s="6">
        <f>IFERROR(INDEX(Kreditoren!$C:$C,MATCH(F43,Kreditoren!$B:$B,0)),"")</f>
        <v/>
      </c>
      <c r="I43" t="inlineStr">
        <is>
          <t>R100</t>
        </is>
      </c>
      <c r="J43" s="6">
        <f>IFERROR(INDEX(Projekte!$B:$B,MATCH(I43,Projekte!$A:$A,0)),"")</f>
        <v/>
      </c>
      <c r="K43" s="39" t="n">
        <v>464.1</v>
      </c>
      <c r="L43" s="39" t="n">
        <v>390</v>
      </c>
      <c r="M43" s="39" t="n">
        <v>74.09999999999999</v>
      </c>
      <c r="N43" t="inlineStr">
        <is>
          <t>Bezahlt</t>
        </is>
      </c>
      <c r="O43" t="inlineStr">
        <is>
          <t>x</t>
        </is>
      </c>
      <c r="P43" t="inlineStr">
        <is>
          <t>x</t>
        </is>
      </c>
      <c r="Q43" t="inlineStr">
        <is>
          <t>x</t>
        </is>
      </c>
      <c r="S43" t="inlineStr">
        <is>
          <t>2026-04-24_Rechnung_R100_Vodafone.pdf</t>
        </is>
      </c>
      <c r="T43" s="8">
        <f>HYPERLINK("https://artcas.sharepoint.com/sites/NEGAG/NEG_DMS/50_BUCHHALTUNG/R100/Verbindlichkeiten/2026/04/2026-04-24_Rechnung_R100_Vodafone.pdf","Öffnen")</f>
        <v/>
      </c>
    </row>
    <row r="44">
      <c r="A44" t="inlineStr">
        <is>
          <t>INV-2026-1040</t>
        </is>
      </c>
      <c r="B44" t="inlineStr">
        <is>
          <t>RE-61427</t>
        </is>
      </c>
      <c r="C44" s="38" t="n">
        <v>46086</v>
      </c>
      <c r="D44" s="38" t="n">
        <v>46089</v>
      </c>
      <c r="E44" s="38" t="n">
        <v>46116</v>
      </c>
      <c r="F44" t="inlineStr">
        <is>
          <t>Neue Medien Muennich</t>
        </is>
      </c>
      <c r="G44" s="6">
        <f>IFERROR(INDEX(Kreditoren!$A:$A,MATCH(F44,Kreditoren!$B:$B,0)),"")</f>
        <v/>
      </c>
      <c r="H44" s="6">
        <f>IFERROR(INDEX(Kreditoren!$C:$C,MATCH(F44,Kreditoren!$B:$B,0)),"")</f>
        <v/>
      </c>
      <c r="I44" t="inlineStr">
        <is>
          <t>GD15</t>
        </is>
      </c>
      <c r="J44" s="6">
        <f>IFERROR(INDEX(Projekte!$B:$B,MATCH(I44,Projekte!$A:$A,0)),"")</f>
        <v/>
      </c>
      <c r="K44" s="39" t="n">
        <v>832.05</v>
      </c>
      <c r="L44" s="39" t="n">
        <v>699.2</v>
      </c>
      <c r="M44" s="39" t="n">
        <v>132.85</v>
      </c>
      <c r="N44" t="inlineStr">
        <is>
          <t>Offen</t>
        </is>
      </c>
      <c r="O44" t="inlineStr">
        <is>
          <t>x</t>
        </is>
      </c>
      <c r="P44" t="inlineStr">
        <is>
          <t>x</t>
        </is>
      </c>
      <c r="Q44" t="inlineStr">
        <is>
          <t>x</t>
        </is>
      </c>
      <c r="S44" t="inlineStr">
        <is>
          <t>2026-03-05_Rechnung_GD15_Neue-Medien-Muennich.pdf</t>
        </is>
      </c>
      <c r="T44" s="8">
        <f>HYPERLINK("https://artcas.sharepoint.com/sites/NEGAG/NEG_DMS/50_BUCHHALTUNG/GD15/Verbindlichkeiten/2026/03/2026-03-05_Rechnung_GD15_Neue-Medien-Muennich.pdf","Öffnen")</f>
        <v/>
      </c>
    </row>
    <row r="45">
      <c r="A45" t="inlineStr">
        <is>
          <t>INV-2026-1041</t>
        </is>
      </c>
      <c r="B45" t="inlineStr">
        <is>
          <t>RE-49685</t>
        </is>
      </c>
      <c r="C45" s="38" t="n">
        <v>46041</v>
      </c>
      <c r="D45" s="38" t="n">
        <v>46043</v>
      </c>
      <c r="E45" s="38" t="n">
        <v>46071</v>
      </c>
      <c r="F45" t="inlineStr">
        <is>
          <t>Neue Medien Muennich</t>
        </is>
      </c>
      <c r="G45" s="6">
        <f>IFERROR(INDEX(Kreditoren!$A:$A,MATCH(F45,Kreditoren!$B:$B,0)),"")</f>
        <v/>
      </c>
      <c r="H45" s="6">
        <f>IFERROR(INDEX(Kreditoren!$C:$C,MATCH(F45,Kreditoren!$B:$B,0)),"")</f>
        <v/>
      </c>
      <c r="I45" t="inlineStr">
        <is>
          <t>B8</t>
        </is>
      </c>
      <c r="J45" s="6">
        <f>IFERROR(INDEX(Projekte!$B:$B,MATCH(I45,Projekte!$A:$A,0)),"")</f>
        <v/>
      </c>
      <c r="K45" s="39" t="n">
        <v>396.94</v>
      </c>
      <c r="L45" s="39" t="n">
        <v>333.56</v>
      </c>
      <c r="M45" s="39" t="n">
        <v>63.38</v>
      </c>
      <c r="N45" t="inlineStr">
        <is>
          <t>Bezahlt</t>
        </is>
      </c>
      <c r="O45" t="inlineStr">
        <is>
          <t>x</t>
        </is>
      </c>
      <c r="P45" t="inlineStr">
        <is>
          <t>x</t>
        </is>
      </c>
      <c r="Q45" t="inlineStr">
        <is>
          <t>x</t>
        </is>
      </c>
      <c r="S45" t="inlineStr">
        <is>
          <t>2026-01-19_Rechnung_B8_Neue-Medien-Muennich.pdf</t>
        </is>
      </c>
      <c r="T45" s="8">
        <f>HYPERLINK("https://artcas.sharepoint.com/sites/NEGAG/NEG_DMS/50_BUCHHALTUNG/B8/Verbindlichkeiten/2026/01/2026-01-19_Rechnung_B8_Neue-Medien-Muennich.pdf","Öffnen")</f>
        <v/>
      </c>
    </row>
    <row r="46">
      <c r="A46" t="inlineStr">
        <is>
          <t>INV-2026-1042</t>
        </is>
      </c>
      <c r="B46" t="inlineStr">
        <is>
          <t>RE-38781</t>
        </is>
      </c>
      <c r="C46" s="38" t="n">
        <v>46187</v>
      </c>
      <c r="D46" s="38" t="n">
        <v>46190</v>
      </c>
      <c r="E46" s="38" t="n">
        <v>46217</v>
      </c>
      <c r="F46" t="inlineStr">
        <is>
          <t>Telekom</t>
        </is>
      </c>
      <c r="G46" s="6">
        <f>IFERROR(INDEX(Kreditoren!$A:$A,MATCH(F46,Kreditoren!$B:$B,0)),"")</f>
        <v/>
      </c>
      <c r="H46" s="6">
        <f>IFERROR(INDEX(Kreditoren!$C:$C,MATCH(F46,Kreditoren!$B:$B,0)),"")</f>
        <v/>
      </c>
      <c r="I46" t="inlineStr">
        <is>
          <t>HH</t>
        </is>
      </c>
      <c r="J46" s="6">
        <f>IFERROR(INDEX(Projekte!$B:$B,MATCH(I46,Projekte!$A:$A,0)),"")</f>
        <v/>
      </c>
      <c r="K46" s="39" t="n">
        <v>131.5</v>
      </c>
      <c r="L46" s="39" t="n">
        <v>110.5</v>
      </c>
      <c r="M46" s="39" t="n">
        <v>21</v>
      </c>
      <c r="N46" t="inlineStr">
        <is>
          <t>Offen</t>
        </is>
      </c>
      <c r="S46" t="inlineStr">
        <is>
          <t>2026-06-14_Rechnung_HH_Telekom.pdf</t>
        </is>
      </c>
      <c r="T46" s="8">
        <f>HYPERLINK("https://artcas.sharepoint.com/sites/NEGAG/NEG_DMS/50_BUCHHALTUNG/HH/Verbindlichkeiten/2026/06/2026-06-14_Rechnung_HH_Telekom.pdf","Öffnen")</f>
        <v/>
      </c>
    </row>
    <row r="47">
      <c r="A47" t="inlineStr">
        <is>
          <t>INV-2026-1043</t>
        </is>
      </c>
      <c r="B47" t="inlineStr">
        <is>
          <t>RE-54448</t>
        </is>
      </c>
      <c r="C47" s="38" t="n">
        <v>46124</v>
      </c>
      <c r="D47" s="38" t="n">
        <v>46126</v>
      </c>
      <c r="E47" s="38" t="n">
        <v>46154</v>
      </c>
      <c r="F47" t="inlineStr">
        <is>
          <t>Bundesanzeiger</t>
        </is>
      </c>
      <c r="G47" s="6">
        <f>IFERROR(INDEX(Kreditoren!$A:$A,MATCH(F47,Kreditoren!$B:$B,0)),"")</f>
        <v/>
      </c>
      <c r="H47" s="6">
        <f>IFERROR(INDEX(Kreditoren!$C:$C,MATCH(F47,Kreditoren!$B:$B,0)),"")</f>
        <v/>
      </c>
      <c r="I47" t="inlineStr">
        <is>
          <t>R100</t>
        </is>
      </c>
      <c r="J47" s="6">
        <f>IFERROR(INDEX(Projekte!$B:$B,MATCH(I47,Projekte!$A:$A,0)),"")</f>
        <v/>
      </c>
      <c r="K47" s="39" t="n">
        <v>1584.1</v>
      </c>
      <c r="L47" s="39" t="n">
        <v>1331.18</v>
      </c>
      <c r="M47" s="39" t="n">
        <v>252.92</v>
      </c>
      <c r="N47" t="inlineStr">
        <is>
          <t>Offen</t>
        </is>
      </c>
      <c r="O47" t="inlineStr">
        <is>
          <t>x</t>
        </is>
      </c>
      <c r="P47" t="inlineStr">
        <is>
          <t>x</t>
        </is>
      </c>
      <c r="S47" t="inlineStr">
        <is>
          <t>2026-04-12_Rechnung_R100_Bundesanzeiger.pdf</t>
        </is>
      </c>
      <c r="T47" s="8">
        <f>HYPERLINK("https://artcas.sharepoint.com/sites/NEGAG/NEG_DMS/50_BUCHHALTUNG/R100/Verbindlichkeiten/2026/04/2026-04-12_Rechnung_R100_Bundesanzeiger.pdf","Öffnen")</f>
        <v/>
      </c>
    </row>
    <row r="48">
      <c r="A48" t="inlineStr">
        <is>
          <t>INV-2026-1044</t>
        </is>
      </c>
      <c r="B48" t="inlineStr">
        <is>
          <t>RE-82620</t>
        </is>
      </c>
      <c r="C48" s="38" t="n">
        <v>46114</v>
      </c>
      <c r="D48" s="38" t="n">
        <v>46115</v>
      </c>
      <c r="E48" s="38" t="n">
        <v>46144</v>
      </c>
      <c r="F48" t="inlineStr">
        <is>
          <t>IKS</t>
        </is>
      </c>
      <c r="G48" s="6">
        <f>IFERROR(INDEX(Kreditoren!$A:$A,MATCH(F48,Kreditoren!$B:$B,0)),"")</f>
        <v/>
      </c>
      <c r="H48" s="6">
        <f>IFERROR(INDEX(Kreditoren!$C:$C,MATCH(F48,Kreditoren!$B:$B,0)),"")</f>
        <v/>
      </c>
      <c r="I48" t="inlineStr">
        <is>
          <t>HR</t>
        </is>
      </c>
      <c r="J48" s="6">
        <f>IFERROR(INDEX(Projekte!$B:$B,MATCH(I48,Projekte!$A:$A,0)),"")</f>
        <v/>
      </c>
      <c r="K48" s="39" t="n">
        <v>10249.04</v>
      </c>
      <c r="L48" s="39" t="n">
        <v>8612.639999999999</v>
      </c>
      <c r="M48" s="39" t="n">
        <v>1636.4</v>
      </c>
      <c r="N48" t="inlineStr">
        <is>
          <t>Bezahlt</t>
        </is>
      </c>
      <c r="O48" t="inlineStr">
        <is>
          <t>x</t>
        </is>
      </c>
      <c r="P48" t="inlineStr">
        <is>
          <t>x</t>
        </is>
      </c>
      <c r="Q48" t="inlineStr">
        <is>
          <t>x</t>
        </is>
      </c>
      <c r="S48" t="inlineStr">
        <is>
          <t>2026-04-02_Rechnung_HR_IKS.pdf</t>
        </is>
      </c>
      <c r="T48" s="8">
        <f>HYPERLINK("https://artcas.sharepoint.com/sites/NEGAG/NEG_DMS/50_BUCHHALTUNG/HR/Verbindlichkeiten/2026/04/2026-04-02_Rechnung_HR_IKS.pdf","Öffnen")</f>
        <v/>
      </c>
    </row>
    <row r="49">
      <c r="A49" t="inlineStr">
        <is>
          <t>INV-2026-1045</t>
        </is>
      </c>
      <c r="B49" t="inlineStr">
        <is>
          <t>RE-18426</t>
        </is>
      </c>
      <c r="C49" s="38" t="n">
        <v>46027</v>
      </c>
      <c r="D49" s="38" t="n">
        <v>46030</v>
      </c>
      <c r="E49" s="38" t="n">
        <v>46057</v>
      </c>
      <c r="F49" t="inlineStr">
        <is>
          <t>Neue Medien Muennich</t>
        </is>
      </c>
      <c r="G49" s="6">
        <f>IFERROR(INDEX(Kreditoren!$A:$A,MATCH(F49,Kreditoren!$B:$B,0)),"")</f>
        <v/>
      </c>
      <c r="H49" s="6">
        <f>IFERROR(INDEX(Kreditoren!$C:$C,MATCH(F49,Kreditoren!$B:$B,0)),"")</f>
        <v/>
      </c>
      <c r="I49" t="inlineStr">
        <is>
          <t>TG</t>
        </is>
      </c>
      <c r="J49" s="6">
        <f>IFERROR(INDEX(Projekte!$B:$B,MATCH(I49,Projekte!$A:$A,0)),"")</f>
        <v/>
      </c>
      <c r="K49" s="39" t="n">
        <v>475.34</v>
      </c>
      <c r="L49" s="39" t="n">
        <v>399.45</v>
      </c>
      <c r="M49" s="39" t="n">
        <v>75.89</v>
      </c>
      <c r="N49" t="inlineStr">
        <is>
          <t>Bezahlt</t>
        </is>
      </c>
      <c r="O49" t="inlineStr">
        <is>
          <t>x</t>
        </is>
      </c>
      <c r="P49" t="inlineStr">
        <is>
          <t>x</t>
        </is>
      </c>
      <c r="Q49" t="inlineStr">
        <is>
          <t>x</t>
        </is>
      </c>
      <c r="S49" t="inlineStr">
        <is>
          <t>2026-01-05_Rechnung_TG_Neue-Medien-Muennich.pdf</t>
        </is>
      </c>
      <c r="T49" s="8">
        <f>HYPERLINK("https://artcas.sharepoint.com/sites/NEGAG/NEG_DMS/50_BUCHHALTUNG/TG/Verbindlichkeiten/2026/01/2026-01-05_Rechnung_TG_Neue-Medien-Muennich.pdf","Öffnen")</f>
        <v/>
      </c>
    </row>
    <row r="50">
      <c r="A50" t="inlineStr">
        <is>
          <t>INV-2026-1046</t>
        </is>
      </c>
      <c r="B50" t="inlineStr">
        <is>
          <t>RE-65345</t>
        </is>
      </c>
      <c r="C50" s="38" t="n">
        <v>46049</v>
      </c>
      <c r="D50" s="38" t="n">
        <v>46052</v>
      </c>
      <c r="E50" s="38" t="n">
        <v>46063</v>
      </c>
      <c r="F50" t="inlineStr">
        <is>
          <t>Telekom</t>
        </is>
      </c>
      <c r="G50" s="6">
        <f>IFERROR(INDEX(Kreditoren!$A:$A,MATCH(F50,Kreditoren!$B:$B,0)),"")</f>
        <v/>
      </c>
      <c r="H50" s="6">
        <f>IFERROR(INDEX(Kreditoren!$C:$C,MATCH(F50,Kreditoren!$B:$B,0)),"")</f>
        <v/>
      </c>
      <c r="I50" t="inlineStr">
        <is>
          <t>HR</t>
        </is>
      </c>
      <c r="J50" s="6">
        <f>IFERROR(INDEX(Projekte!$B:$B,MATCH(I50,Projekte!$A:$A,0)),"")</f>
        <v/>
      </c>
      <c r="K50" s="39" t="n">
        <v>209.51</v>
      </c>
      <c r="L50" s="39" t="n">
        <v>176.06</v>
      </c>
      <c r="M50" s="39" t="n">
        <v>33.45</v>
      </c>
      <c r="N50" t="inlineStr">
        <is>
          <t>Offen</t>
        </is>
      </c>
      <c r="O50" t="inlineStr">
        <is>
          <t>x</t>
        </is>
      </c>
      <c r="S50" t="inlineStr">
        <is>
          <t>2026-01-27_Rechnung_HR_Telekom.pdf</t>
        </is>
      </c>
      <c r="T50" s="8">
        <f>HYPERLINK("https://artcas.sharepoint.com/sites/NEGAG/NEG_DMS/50_BUCHHALTUNG/HR/Verbindlichkeiten/2026/01/2026-01-27_Rechnung_HR_Telekom.pdf","Öffnen")</f>
        <v/>
      </c>
    </row>
    <row r="51">
      <c r="A51" t="inlineStr">
        <is>
          <t>INV-2026-1047</t>
        </is>
      </c>
      <c r="B51" t="inlineStr">
        <is>
          <t>RE-17540</t>
        </is>
      </c>
      <c r="C51" s="38" t="n">
        <v>46126</v>
      </c>
      <c r="D51" s="38" t="n">
        <v>46130</v>
      </c>
      <c r="E51" s="38" t="n">
        <v>46140</v>
      </c>
      <c r="F51" t="inlineStr">
        <is>
          <t>Stadt Leipzig</t>
        </is>
      </c>
      <c r="G51" s="6">
        <f>IFERROR(INDEX(Kreditoren!$A:$A,MATCH(F51,Kreditoren!$B:$B,0)),"")</f>
        <v/>
      </c>
      <c r="H51" s="6">
        <f>IFERROR(INDEX(Kreditoren!$C:$C,MATCH(F51,Kreditoren!$B:$B,0)),"")</f>
        <v/>
      </c>
      <c r="I51" t="inlineStr">
        <is>
          <t>T42</t>
        </is>
      </c>
      <c r="J51" s="6">
        <f>IFERROR(INDEX(Projekte!$B:$B,MATCH(I51,Projekte!$A:$A,0)),"")</f>
        <v/>
      </c>
      <c r="K51" s="39" t="n">
        <v>1129.66</v>
      </c>
      <c r="L51" s="39" t="n">
        <v>949.29</v>
      </c>
      <c r="M51" s="39" t="n">
        <v>180.37</v>
      </c>
      <c r="N51" t="inlineStr">
        <is>
          <t>Bezahlt</t>
        </is>
      </c>
      <c r="O51" t="inlineStr">
        <is>
          <t>x</t>
        </is>
      </c>
      <c r="P51" t="inlineStr">
        <is>
          <t>x</t>
        </is>
      </c>
      <c r="Q51" t="inlineStr">
        <is>
          <t>x</t>
        </is>
      </c>
      <c r="S51" t="inlineStr">
        <is>
          <t>2026-04-14_Rechnung_T42_Stadt-Leipzig.pdf</t>
        </is>
      </c>
      <c r="T51" s="8">
        <f>HYPERLINK("https://artcas.sharepoint.com/sites/NEGAG/NEG_DMS/50_BUCHHALTUNG/T42/Verbindlichkeiten/2026/04/2026-04-14_Rechnung_T42_Stadt-Leipzig.pdf","Öffnen")</f>
        <v/>
      </c>
    </row>
    <row r="52">
      <c r="A52" t="inlineStr">
        <is>
          <t>INV-2026-1048</t>
        </is>
      </c>
      <c r="B52" t="inlineStr">
        <is>
          <t>RE-44151</t>
        </is>
      </c>
      <c r="C52" s="38" t="n">
        <v>46131</v>
      </c>
      <c r="D52" s="38" t="n">
        <v>46134</v>
      </c>
      <c r="E52" s="38" t="n">
        <v>46145</v>
      </c>
      <c r="F52" t="inlineStr">
        <is>
          <t>Bundesanzeiger</t>
        </is>
      </c>
      <c r="G52" s="6">
        <f>IFERROR(INDEX(Kreditoren!$A:$A,MATCH(F52,Kreditoren!$B:$B,0)),"")</f>
        <v/>
      </c>
      <c r="H52" s="6">
        <f>IFERROR(INDEX(Kreditoren!$C:$C,MATCH(F52,Kreditoren!$B:$B,0)),"")</f>
        <v/>
      </c>
      <c r="I52" t="inlineStr">
        <is>
          <t>HH</t>
        </is>
      </c>
      <c r="J52" s="6">
        <f>IFERROR(INDEX(Projekte!$B:$B,MATCH(I52,Projekte!$A:$A,0)),"")</f>
        <v/>
      </c>
      <c r="K52" s="39" t="n">
        <v>1503.21</v>
      </c>
      <c r="L52" s="39" t="n">
        <v>1263.2</v>
      </c>
      <c r="M52" s="39" t="n">
        <v>240.01</v>
      </c>
      <c r="N52" t="inlineStr">
        <is>
          <t>Bezahlt</t>
        </is>
      </c>
      <c r="O52" t="inlineStr">
        <is>
          <t>x</t>
        </is>
      </c>
      <c r="P52" t="inlineStr">
        <is>
          <t>x</t>
        </is>
      </c>
      <c r="Q52" t="inlineStr">
        <is>
          <t>x</t>
        </is>
      </c>
      <c r="S52" t="inlineStr">
        <is>
          <t>2026-04-19_Rechnung_HH_Bundesanzeiger.pdf</t>
        </is>
      </c>
      <c r="T52" s="8">
        <f>HYPERLINK("https://artcas.sharepoint.com/sites/NEGAG/NEG_DMS/50_BUCHHALTUNG/HH/Verbindlichkeiten/2026/04/2026-04-19_Rechnung_HH_Bundesanzeiger.pdf","Öffnen")</f>
        <v/>
      </c>
    </row>
    <row r="53">
      <c r="A53" t="inlineStr">
        <is>
          <t>INV-2026-1049</t>
        </is>
      </c>
      <c r="B53" t="inlineStr">
        <is>
          <t>RE-54453</t>
        </is>
      </c>
      <c r="C53" s="38" t="n">
        <v>46079</v>
      </c>
      <c r="D53" s="38" t="n">
        <v>46082</v>
      </c>
      <c r="E53" s="38" t="n">
        <v>46093</v>
      </c>
      <c r="F53" t="inlineStr">
        <is>
          <t>Telekom</t>
        </is>
      </c>
      <c r="G53" s="6">
        <f>IFERROR(INDEX(Kreditoren!$A:$A,MATCH(F53,Kreditoren!$B:$B,0)),"")</f>
        <v/>
      </c>
      <c r="H53" s="6">
        <f>IFERROR(INDEX(Kreditoren!$C:$C,MATCH(F53,Kreditoren!$B:$B,0)),"")</f>
        <v/>
      </c>
      <c r="I53" t="inlineStr">
        <is>
          <t>GF4</t>
        </is>
      </c>
      <c r="J53" s="6">
        <f>IFERROR(INDEX(Projekte!$B:$B,MATCH(I53,Projekte!$A:$A,0)),"")</f>
        <v/>
      </c>
      <c r="K53" s="39" t="n">
        <v>566.98</v>
      </c>
      <c r="L53" s="39" t="n">
        <v>476.45</v>
      </c>
      <c r="M53" s="39" t="n">
        <v>90.53</v>
      </c>
      <c r="N53" t="inlineStr">
        <is>
          <t>Bezahlt</t>
        </is>
      </c>
      <c r="O53" t="inlineStr">
        <is>
          <t>x</t>
        </is>
      </c>
      <c r="P53" t="inlineStr">
        <is>
          <t>x</t>
        </is>
      </c>
      <c r="Q53" t="inlineStr">
        <is>
          <t>x</t>
        </is>
      </c>
      <c r="S53" t="inlineStr">
        <is>
          <t>2026-02-26_Rechnung_GF4_Telekom.pdf</t>
        </is>
      </c>
      <c r="T53" s="8">
        <f>HYPERLINK("https://artcas.sharepoint.com/sites/NEGAG/NEG_DMS/50_BUCHHALTUNG/GF4/Verbindlichkeiten/2026/02/2026-02-26_Rechnung_GF4_Telekom.pdf","Öffnen")</f>
        <v/>
      </c>
    </row>
    <row r="54">
      <c r="A54" t="inlineStr">
        <is>
          <t>INV-2026-1050</t>
        </is>
      </c>
      <c r="B54" t="inlineStr">
        <is>
          <t>RE-24346</t>
        </is>
      </c>
      <c r="C54" s="38" t="n">
        <v>46091</v>
      </c>
      <c r="D54" s="38" t="n">
        <v>46093</v>
      </c>
      <c r="E54" s="38" t="n">
        <v>46121</v>
      </c>
      <c r="F54" t="inlineStr">
        <is>
          <t>Rupprecht</t>
        </is>
      </c>
      <c r="G54" s="6">
        <f>IFERROR(INDEX(Kreditoren!$A:$A,MATCH(F54,Kreditoren!$B:$B,0)),"")</f>
        <v/>
      </c>
      <c r="H54" s="6">
        <f>IFERROR(INDEX(Kreditoren!$C:$C,MATCH(F54,Kreditoren!$B:$B,0)),"")</f>
        <v/>
      </c>
      <c r="I54" t="inlineStr">
        <is>
          <t>E25</t>
        </is>
      </c>
      <c r="J54" s="6">
        <f>IFERROR(INDEX(Projekte!$B:$B,MATCH(I54,Projekte!$A:$A,0)),"")</f>
        <v/>
      </c>
      <c r="K54" s="39" t="n">
        <v>1083.28</v>
      </c>
      <c r="L54" s="39" t="n">
        <v>910.3200000000001</v>
      </c>
      <c r="M54" s="39" t="n">
        <v>172.96</v>
      </c>
      <c r="N54" t="inlineStr">
        <is>
          <t>Bezahlt</t>
        </is>
      </c>
      <c r="O54" t="inlineStr">
        <is>
          <t>x</t>
        </is>
      </c>
      <c r="P54" t="inlineStr">
        <is>
          <t>x</t>
        </is>
      </c>
      <c r="Q54" t="inlineStr">
        <is>
          <t>x</t>
        </is>
      </c>
      <c r="S54" t="inlineStr">
        <is>
          <t>2026-03-10_Rechnung_E25_Rupprecht.pdf</t>
        </is>
      </c>
      <c r="T54" s="8">
        <f>HYPERLINK("https://artcas.sharepoint.com/sites/NEGAG/NEG_DMS/50_BUCHHALTUNG/E25/Verbindlichkeiten/2026/03/2026-03-10_Rechnung_E25_Rupprecht.pdf","Öffnen")</f>
        <v/>
      </c>
    </row>
    <row r="55">
      <c r="A55" t="inlineStr">
        <is>
          <t>INV-2026-1051</t>
        </is>
      </c>
      <c r="B55" t="inlineStr">
        <is>
          <t>RE-79610</t>
        </is>
      </c>
      <c r="C55" s="38" t="n">
        <v>46035</v>
      </c>
      <c r="D55" s="38" t="n">
        <v>46037</v>
      </c>
      <c r="E55" s="38" t="n">
        <v>46049</v>
      </c>
      <c r="F55" t="inlineStr">
        <is>
          <t>Stadtwerke Leipzig</t>
        </is>
      </c>
      <c r="G55" s="6">
        <f>IFERROR(INDEX(Kreditoren!$A:$A,MATCH(F55,Kreditoren!$B:$B,0)),"")</f>
        <v/>
      </c>
      <c r="H55" s="6">
        <f>IFERROR(INDEX(Kreditoren!$C:$C,MATCH(F55,Kreditoren!$B:$B,0)),"")</f>
        <v/>
      </c>
      <c r="I55" t="inlineStr">
        <is>
          <t>T42</t>
        </is>
      </c>
      <c r="J55" s="6">
        <f>IFERROR(INDEX(Projekte!$B:$B,MATCH(I55,Projekte!$A:$A,0)),"")</f>
        <v/>
      </c>
      <c r="K55" s="39" t="n">
        <v>2996.74</v>
      </c>
      <c r="L55" s="39" t="n">
        <v>2518.27</v>
      </c>
      <c r="M55" s="39" t="n">
        <v>478.47</v>
      </c>
      <c r="N55" t="inlineStr">
        <is>
          <t>Bezahlt</t>
        </is>
      </c>
      <c r="O55" t="inlineStr">
        <is>
          <t>x</t>
        </is>
      </c>
      <c r="P55" t="inlineStr">
        <is>
          <t>x</t>
        </is>
      </c>
      <c r="Q55" t="inlineStr">
        <is>
          <t>x</t>
        </is>
      </c>
      <c r="S55" t="inlineStr">
        <is>
          <t>2026-01-13_Rechnung_T42_Stadtwerke-Leipzig.pdf</t>
        </is>
      </c>
      <c r="T55" s="8">
        <f>HYPERLINK("https://artcas.sharepoint.com/sites/NEGAG/NEG_DMS/50_BUCHHALTUNG/T42/Verbindlichkeiten/2026/01/2026-01-13_Rechnung_T42_Stadtwerke-Leipzig.pdf","Öffnen")</f>
        <v/>
      </c>
    </row>
    <row r="56">
      <c r="A56" t="inlineStr">
        <is>
          <t>INV-2026-1052</t>
        </is>
      </c>
      <c r="B56" t="inlineStr">
        <is>
          <t>RE-14843</t>
        </is>
      </c>
      <c r="C56" s="38" t="n">
        <v>46137</v>
      </c>
      <c r="D56" s="38" t="n">
        <v>46139</v>
      </c>
      <c r="E56" s="38" t="n">
        <v>46167</v>
      </c>
      <c r="F56" t="inlineStr">
        <is>
          <t>Veolia</t>
        </is>
      </c>
      <c r="G56" s="6">
        <f>IFERROR(INDEX(Kreditoren!$A:$A,MATCH(F56,Kreditoren!$B:$B,0)),"")</f>
        <v/>
      </c>
      <c r="H56" s="6">
        <f>IFERROR(INDEX(Kreditoren!$C:$C,MATCH(F56,Kreditoren!$B:$B,0)),"")</f>
        <v/>
      </c>
      <c r="I56" t="inlineStr">
        <is>
          <t>T42</t>
        </is>
      </c>
      <c r="J56" s="6">
        <f>IFERROR(INDEX(Projekte!$B:$B,MATCH(I56,Projekte!$A:$A,0)),"")</f>
        <v/>
      </c>
      <c r="K56" s="39" t="n">
        <v>1011.57</v>
      </c>
      <c r="L56" s="39" t="n">
        <v>850.0599999999999</v>
      </c>
      <c r="M56" s="39" t="n">
        <v>161.51</v>
      </c>
      <c r="N56" t="inlineStr">
        <is>
          <t>Offen</t>
        </is>
      </c>
      <c r="S56" t="inlineStr">
        <is>
          <t>2026-04-25_Rechnung_T42_Veolia.pdf</t>
        </is>
      </c>
      <c r="T56" s="8">
        <f>HYPERLINK("https://artcas.sharepoint.com/sites/NEGAG/NEG_DMS/50_BUCHHALTUNG/T42/Verbindlichkeiten/2026/04/2026-04-25_Rechnung_T42_Veolia.pdf","Öffnen")</f>
        <v/>
      </c>
    </row>
  </sheetData>
  <mergeCells count="1">
    <mergeCell ref="C1:H2"/>
  </mergeCells>
  <conditionalFormatting sqref="N5:N5000">
    <cfRule type="cellIs" priority="1" operator="equal" dxfId="0">
      <formula>"Offen"</formula>
    </cfRule>
    <cfRule type="cellIs" priority="2" operator="equal" dxfId="1">
      <formula>"Bezahlt"</formula>
    </cfRule>
  </conditionalFormatting>
  <conditionalFormatting sqref="E5:E5000">
    <cfRule type="expression" priority="3" dxfId="2">
      <formula>AND($N5&lt;&gt;"Bezahlt",$E5&lt;TODAY(),$E5&lt;&gt;"")</formula>
    </cfRule>
  </conditionalFormatting>
  <conditionalFormatting sqref="B5:B5000">
    <cfRule type="expression" priority="4" dxfId="2">
      <formula>AND($B5&lt;&gt;"",COUNTIFS($F$5:$F$5000,$F5,$B$5:$B$5000,$B5)&gt;1)</formula>
    </cfRule>
  </conditionalFormatting>
  <dataValidations count="6">
    <dataValidation sqref="F5:F5000" showDropDown="0" showInputMessage="0" showErrorMessage="0" allowBlank="1" type="list">
      <formula1>LiefVals</formula1>
    </dataValidation>
    <dataValidation sqref="I5:I5000" showDropDown="0" showInputMessage="0" showErrorMessage="0" allowBlank="1" type="list">
      <formula1>ProjVals</formula1>
    </dataValidation>
    <dataValidation sqref="N5:N5000" showDropDown="0" showInputMessage="0" showErrorMessage="0" allowBlank="1" type="list">
      <formula1>"Offen,Bezahlt"</formula1>
    </dataValidation>
    <dataValidation sqref="O5:O5000" showDropDown="0" showInputMessage="0" showErrorMessage="0" allowBlank="1" type="list">
      <formula1>"x"</formula1>
    </dataValidation>
    <dataValidation sqref="P5:P5000" showDropDown="0" showInputMessage="0" showErrorMessage="0" allowBlank="1" type="list">
      <formula1>"x"</formula1>
    </dataValidation>
    <dataValidation sqref="Q5:Q5000" showDropDown="0" showInputMessage="0" showErrorMessage="0" allowBlank="1" type="list">
      <formula1>"x"</formula1>
    </dataValidation>
  </dataValidations>
  <pageMargins left="0.75" right="0.75" top="1" bottom="1" header="0.5" footer="0.5"/>
  <drawing xmlns:r="http://schemas.openxmlformats.org/officeDocument/2006/relationships" r:id="rId1"/>
  <tableParts count="1">
    <tablePart xmlns:r="http://schemas.openxmlformats.org/officeDocument/2006/relationships" r:id="rId2"/>
  </tablePart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C13"/>
  <sheetViews>
    <sheetView workbookViewId="0">
      <selection activeCell="A1" sqref="A1"/>
    </sheetView>
  </sheetViews>
  <sheetFormatPr baseColWidth="8" defaultRowHeight="15"/>
  <sheetData>
    <row r="1">
      <c r="A1" t="inlineStr">
        <is>
          <t>Kred.-Konto</t>
        </is>
      </c>
      <c r="B1" t="inlineStr">
        <is>
          <t>Lieferant</t>
        </is>
      </c>
      <c r="C1" t="inlineStr">
        <is>
          <t>Kategorie</t>
        </is>
      </c>
    </row>
    <row r="2">
      <c r="A2" t="inlineStr">
        <is>
          <t>4210</t>
        </is>
      </c>
      <c r="B2" t="inlineStr">
        <is>
          <t>Vodafone</t>
        </is>
      </c>
      <c r="C2" t="inlineStr">
        <is>
          <t>Telekommunikation</t>
        </is>
      </c>
    </row>
    <row r="3">
      <c r="A3" t="inlineStr">
        <is>
          <t>4220</t>
        </is>
      </c>
      <c r="B3" t="inlineStr">
        <is>
          <t>Telekom</t>
        </is>
      </c>
      <c r="C3" t="inlineStr">
        <is>
          <t>Telekommunikation</t>
        </is>
      </c>
    </row>
    <row r="4">
      <c r="A4" t="inlineStr">
        <is>
          <t>4230</t>
        </is>
      </c>
      <c r="B4" t="inlineStr">
        <is>
          <t>Stadtwerke Leipzig</t>
        </is>
      </c>
      <c r="C4" t="inlineStr">
        <is>
          <t>Energie/Versorgung</t>
        </is>
      </c>
    </row>
    <row r="5">
      <c r="A5" t="inlineStr">
        <is>
          <t>4240</t>
        </is>
      </c>
      <c r="B5" t="inlineStr">
        <is>
          <t>Veolia</t>
        </is>
      </c>
      <c r="C5" t="inlineStr">
        <is>
          <t>Energie/Versorgung</t>
        </is>
      </c>
    </row>
    <row r="6">
      <c r="A6" t="inlineStr">
        <is>
          <t>4250</t>
        </is>
      </c>
      <c r="B6" t="inlineStr">
        <is>
          <t>Google</t>
        </is>
      </c>
      <c r="C6" t="inlineStr">
        <is>
          <t>Marketing/Werbung</t>
        </is>
      </c>
    </row>
    <row r="7">
      <c r="A7" t="inlineStr">
        <is>
          <t>4260</t>
        </is>
      </c>
      <c r="B7" t="inlineStr">
        <is>
          <t>Immoscout24</t>
        </is>
      </c>
      <c r="C7" t="inlineStr">
        <is>
          <t>Marketing/Werbung</t>
        </is>
      </c>
    </row>
    <row r="8">
      <c r="A8" t="inlineStr">
        <is>
          <t>4270</t>
        </is>
      </c>
      <c r="B8" t="inlineStr">
        <is>
          <t>IKS</t>
        </is>
      </c>
      <c r="C8" t="inlineStr">
        <is>
          <t>Dienstleistung</t>
        </is>
      </c>
    </row>
    <row r="9">
      <c r="A9" t="inlineStr">
        <is>
          <t>4280</t>
        </is>
      </c>
      <c r="B9" t="inlineStr">
        <is>
          <t>Neue Medien Muennich</t>
        </is>
      </c>
      <c r="C9" t="inlineStr">
        <is>
          <t>IT/Hosting</t>
        </is>
      </c>
    </row>
    <row r="10">
      <c r="A10" t="inlineStr">
        <is>
          <t>4290</t>
        </is>
      </c>
      <c r="B10" t="inlineStr">
        <is>
          <t>Rupprecht</t>
        </is>
      </c>
      <c r="C10" t="inlineStr">
        <is>
          <t>Dienstleistung</t>
        </is>
      </c>
    </row>
    <row r="11">
      <c r="A11" t="inlineStr">
        <is>
          <t>4295</t>
        </is>
      </c>
      <c r="B11" t="inlineStr">
        <is>
          <t>Schlosser</t>
        </is>
      </c>
      <c r="C11" t="inlineStr">
        <is>
          <t>Dienstleistung</t>
        </is>
      </c>
    </row>
    <row r="12">
      <c r="A12" t="inlineStr">
        <is>
          <t>4300</t>
        </is>
      </c>
      <c r="B12" t="inlineStr">
        <is>
          <t>Stadt Leipzig</t>
        </is>
      </c>
      <c r="C12" t="inlineStr">
        <is>
          <t>Behoerde/Gebuehren</t>
        </is>
      </c>
    </row>
    <row r="13">
      <c r="A13" t="inlineStr">
        <is>
          <t>4310</t>
        </is>
      </c>
      <c r="B13" t="inlineStr">
        <is>
          <t>Bundesanzeiger</t>
        </is>
      </c>
      <c r="C13" t="inlineStr">
        <is>
          <t>Behoerde/Gebuehren</t>
        </is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B13"/>
  <sheetViews>
    <sheetView workbookViewId="0">
      <selection activeCell="A1" sqref="A1"/>
    </sheetView>
  </sheetViews>
  <sheetFormatPr baseColWidth="8" defaultRowHeight="15"/>
  <sheetData>
    <row r="1">
      <c r="A1" t="inlineStr">
        <is>
          <t>Projekt</t>
        </is>
      </c>
      <c r="B1" t="inlineStr">
        <is>
          <t>Gesellschaft</t>
        </is>
      </c>
    </row>
    <row r="2">
      <c r="A2" t="inlineStr">
        <is>
          <t>B69</t>
        </is>
      </c>
      <c r="B2" t="inlineStr">
        <is>
          <t>ARTCAS_01</t>
        </is>
      </c>
    </row>
    <row r="3">
      <c r="A3" t="inlineStr">
        <is>
          <t>R100</t>
        </is>
      </c>
      <c r="B3" t="inlineStr">
        <is>
          <t>ARTCAS_03</t>
        </is>
      </c>
    </row>
    <row r="4">
      <c r="A4" t="inlineStr">
        <is>
          <t>HH</t>
        </is>
      </c>
      <c r="B4" t="inlineStr">
        <is>
          <t>ARTCAS_04</t>
        </is>
      </c>
    </row>
    <row r="5">
      <c r="A5" t="inlineStr">
        <is>
          <t>HR</t>
        </is>
      </c>
      <c r="B5" t="inlineStr">
        <is>
          <t>ARTCAS_05</t>
        </is>
      </c>
    </row>
    <row r="6">
      <c r="A6" t="inlineStr">
        <is>
          <t>T42</t>
        </is>
      </c>
      <c r="B6" t="inlineStr">
        <is>
          <t>ARTCAS_06</t>
        </is>
      </c>
    </row>
    <row r="7">
      <c r="A7" t="inlineStr">
        <is>
          <t>B8</t>
        </is>
      </c>
      <c r="B7" t="inlineStr">
        <is>
          <t>ARTCAS_07</t>
        </is>
      </c>
    </row>
    <row r="8">
      <c r="A8" t="inlineStr">
        <is>
          <t>E25</t>
        </is>
      </c>
      <c r="B8" t="inlineStr">
        <is>
          <t>ARTCAS_08</t>
        </is>
      </c>
    </row>
    <row r="9">
      <c r="A9" t="inlineStr">
        <is>
          <t>TG</t>
        </is>
      </c>
      <c r="B9" t="inlineStr">
        <is>
          <t>ARTCAS_09</t>
        </is>
      </c>
    </row>
    <row r="10">
      <c r="A10" t="inlineStr">
        <is>
          <t>GD15</t>
        </is>
      </c>
      <c r="B10" t="inlineStr">
        <is>
          <t>ARTCAS_12</t>
        </is>
      </c>
    </row>
    <row r="11">
      <c r="A11" t="inlineStr">
        <is>
          <t>GF4</t>
        </is>
      </c>
      <c r="B11" t="inlineStr">
        <is>
          <t>ARTCAS_14</t>
        </is>
      </c>
    </row>
    <row r="12">
      <c r="A12" t="inlineStr">
        <is>
          <t>Z1</t>
        </is>
      </c>
      <c r="B12" t="inlineStr">
        <is>
          <t>ARTCAS_16</t>
        </is>
      </c>
    </row>
    <row r="13">
      <c r="A13" t="inlineStr">
        <is>
          <t>AFL</t>
        </is>
      </c>
      <c r="B13" t="inlineStr">
        <is>
          <t>AFL_GmbH</t>
        </is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U41"/>
  <sheetViews>
    <sheetView workbookViewId="0">
      <selection activeCell="A1" sqref="A1"/>
    </sheetView>
  </sheetViews>
  <sheetFormatPr baseColWidth="8" defaultRowHeight="15"/>
  <sheetData>
    <row r="1">
      <c r="A1" t="inlineStr">
        <is>
          <t>Alle Gesellschaften</t>
        </is>
      </c>
      <c r="C1" t="inlineStr">
        <is>
          <t>Alle Kategorien</t>
        </is>
      </c>
      <c r="E1" t="inlineStr">
        <is>
          <t>Alle Lieferanten</t>
        </is>
      </c>
      <c r="I1" t="inlineStr">
        <is>
          <t>MonStart</t>
        </is>
      </c>
      <c r="J1" t="inlineStr">
        <is>
          <t>Monat</t>
        </is>
      </c>
      <c r="K1" t="inlineStr">
        <is>
          <t>Betrag</t>
        </is>
      </c>
      <c r="M1" t="inlineStr">
        <is>
          <t>Lieferant</t>
        </is>
      </c>
      <c r="N1" t="inlineStr">
        <is>
          <t>Betrag</t>
        </is>
      </c>
      <c r="P1" t="inlineStr">
        <is>
          <t>Kategorie</t>
        </is>
      </c>
      <c r="Q1" t="inlineStr">
        <is>
          <t>Betrag</t>
        </is>
      </c>
      <c r="S1">
        <f t="array" ref="S1">IFERROR(MATCH(LARGE(IF((RE[Status]&lt;&gt;"Bezahlt")*(RE[Faelligkeit]&lt;&gt;"")*(RE[Faelligkeit]&lt;TODAY()),RE[Brutto]+(ROW(RE[Brutto])-MIN(ROW(RE[Brutto])))/100000,""),1),IF((RE[Status]&lt;&gt;"Bezahlt")*(RE[Faelligkeit]&lt;&gt;"")*(RE[Faelligkeit]&lt;TODAY()),RE[Brutto]+(ROW(RE[Brutto])-MIN(ROW(RE[Brutto])))/100000,""),0),"")</f>
        <v/>
      </c>
      <c r="U1">
        <f t="array" ref="U1">IFERROR(SMALL(IF(RE[Status]&lt;&gt;"Bezahlt",ROW(RE[Status])-MIN(ROW(RE[Status]))+1),1),"")</f>
        <v/>
      </c>
    </row>
    <row r="2">
      <c r="A2">
        <f t="array" ref="A2">IFERROR(INDEX(Projekte!$B$2:$B$1000,MATCH(0,COUNTIF($A$1:$A1,Projekte!$B$2:$B$1000)+(Projekte!$B$2:$B$1000=""),0)),"")</f>
        <v/>
      </c>
      <c r="C2">
        <f t="array" ref="C2">IFERROR(INDEX(Kreditoren!$C$2:$C$1000,MATCH(0,COUNTIF($C$1:$C1,Kreditoren!$C$2:$C$1000)+(Kreditoren!$C$2:$C$1000=""),0)),"")</f>
        <v/>
      </c>
      <c r="D2">
        <f>IF($C2="","",SUMPRODUCT(((Übersicht!$A$11="Alle Gesellschaften")+(RE[Gesellschaft]=Übersicht!$A$11))*((Übersicht!$A$15="Alle Lieferanten")+(RE[Lieferant]=Übersicht!$A$15))*(RE[Kategorie]=$C2)*RE[Brutto]))</f>
        <v/>
      </c>
      <c r="E2">
        <f>IF(Kreditoren!$B2="","",Kreditoren!$B2)</f>
        <v/>
      </c>
      <c r="F2">
        <f>IF($E2="","",SUMPRODUCT(((Übersicht!$A$11="Alle Gesellschaften")+(RE[Gesellschaft]=Übersicht!$A$11))*((Übersicht!$A$13="Alle Kategorien")+(RE[Kategorie]=Übersicht!$A$13))*(RE[Lieferant]=$E2)*RE[Brutto]))</f>
        <v/>
      </c>
      <c r="G2">
        <f>IF($E2="","",$F2+ROW()/100000)</f>
        <v/>
      </c>
      <c r="H2">
        <f>IF($C2="","",$D2+ROW()/100000)</f>
        <v/>
      </c>
      <c r="I2">
        <f>EDATE(DATE(YEAR(TODAY()),MONTH(TODAY()),1),-5)</f>
        <v/>
      </c>
      <c r="J2">
        <f>CHOOSE(MONTH(I2),"Jan","Feb","Mär","Apr","Mai","Jun","Jul","Aug","Sep","Okt","Nov","Dez")&amp;" "&amp;RIGHT(YEAR(I2),2)</f>
        <v/>
      </c>
      <c r="K2">
        <f>SUMPRODUCT(((Übersicht!$A$11="Alle Gesellschaften")+(RE[Gesellschaft]=Übersicht!$A$11))*((Übersicht!$A$13="Alle Kategorien")+(RE[Kategorie]=Übersicht!$A$13))*((Übersicht!$A$15="Alle Lieferanten")+(RE[Lieferant]=Übersicht!$A$15))*(RE[RE-Datum]&gt;=I2)*(RE[RE-Datum]&lt;EDATE(I2,1))*RE[Brutto])</f>
        <v/>
      </c>
      <c r="M2">
        <f>IFERROR(INDEX($E$2:$E$41,MATCH(LARGE($G$2:$G$41,1),$G$2:$G$41,0)),"")</f>
        <v/>
      </c>
      <c r="N2">
        <f>IFERROR(INDEX($F$2:$F$41,MATCH(LARGE($G$2:$G$41,1),$G$2:$G$41,0)),"")</f>
        <v/>
      </c>
      <c r="P2">
        <f>IFERROR(INDEX($C$2:$C$21,MATCH(LARGE($H$2:$H$21,1),$H$2:$H$21,0)),"")</f>
        <v/>
      </c>
      <c r="Q2">
        <f>IFERROR(INDEX($D$2:$D$21,MATCH(LARGE($H$2:$H$21,1),$H$2:$H$21,0)),"")</f>
        <v/>
      </c>
      <c r="S2">
        <f t="array" ref="S2">IFERROR(MATCH(LARGE(IF((RE[Status]&lt;&gt;"Bezahlt")*(RE[Faelligkeit]&lt;&gt;"")*(RE[Faelligkeit]&lt;TODAY()),RE[Brutto]+(ROW(RE[Brutto])-MIN(ROW(RE[Brutto])))/100000,""),2),IF((RE[Status]&lt;&gt;"Bezahlt")*(RE[Faelligkeit]&lt;&gt;"")*(RE[Faelligkeit]&lt;TODAY()),RE[Brutto]+(ROW(RE[Brutto])-MIN(ROW(RE[Brutto])))/100000,""),0),"")</f>
        <v/>
      </c>
      <c r="U2">
        <f t="array" ref="U2">IFERROR(SMALL(IF(RE[Status]&lt;&gt;"Bezahlt",ROW(RE[Status])-MIN(ROW(RE[Status]))+1),2),"")</f>
        <v/>
      </c>
    </row>
    <row r="3">
      <c r="A3">
        <f t="array" ref="A3">IFERROR(INDEX(Projekte!$B$2:$B$1000,MATCH(0,COUNTIF($A$1:$A2,Projekte!$B$2:$B$1000)+(Projekte!$B$2:$B$1000=""),0)),"")</f>
        <v/>
      </c>
      <c r="C3">
        <f t="array" ref="C3">IFERROR(INDEX(Kreditoren!$C$2:$C$1000,MATCH(0,COUNTIF($C$1:$C2,Kreditoren!$C$2:$C$1000)+(Kreditoren!$C$2:$C$1000=""),0)),"")</f>
        <v/>
      </c>
      <c r="D3">
        <f>IF($C3="","",SUMPRODUCT(((Übersicht!$A$11="Alle Gesellschaften")+(RE[Gesellschaft]=Übersicht!$A$11))*((Übersicht!$A$15="Alle Lieferanten")+(RE[Lieferant]=Übersicht!$A$15))*(RE[Kategorie]=$C3)*RE[Brutto]))</f>
        <v/>
      </c>
      <c r="E3">
        <f>IF(Kreditoren!$B3="","",Kreditoren!$B3)</f>
        <v/>
      </c>
      <c r="F3">
        <f>IF($E3="","",SUMPRODUCT(((Übersicht!$A$11="Alle Gesellschaften")+(RE[Gesellschaft]=Übersicht!$A$11))*((Übersicht!$A$13="Alle Kategorien")+(RE[Kategorie]=Übersicht!$A$13))*(RE[Lieferant]=$E3)*RE[Brutto]))</f>
        <v/>
      </c>
      <c r="G3">
        <f>IF($E3="","",$F3+ROW()/100000)</f>
        <v/>
      </c>
      <c r="H3">
        <f>IF($C3="","",$D3+ROW()/100000)</f>
        <v/>
      </c>
      <c r="I3">
        <f>EDATE(I2,1)</f>
        <v/>
      </c>
      <c r="J3">
        <f>CHOOSE(MONTH(I3),"Jan","Feb","Mär","Apr","Mai","Jun","Jul","Aug","Sep","Okt","Nov","Dez")&amp;" "&amp;RIGHT(YEAR(I3),2)</f>
        <v/>
      </c>
      <c r="K3">
        <f>SUMPRODUCT(((Übersicht!$A$11="Alle Gesellschaften")+(RE[Gesellschaft]=Übersicht!$A$11))*((Übersicht!$A$13="Alle Kategorien")+(RE[Kategorie]=Übersicht!$A$13))*((Übersicht!$A$15="Alle Lieferanten")+(RE[Lieferant]=Übersicht!$A$15))*(RE[RE-Datum]&gt;=I3)*(RE[RE-Datum]&lt;EDATE(I3,1))*RE[Brutto])</f>
        <v/>
      </c>
      <c r="M3">
        <f>IFERROR(INDEX($E$2:$E$41,MATCH(LARGE($G$2:$G$41,2),$G$2:$G$41,0)),"")</f>
        <v/>
      </c>
      <c r="N3">
        <f>IFERROR(INDEX($F$2:$F$41,MATCH(LARGE($G$2:$G$41,2),$G$2:$G$41,0)),"")</f>
        <v/>
      </c>
      <c r="P3">
        <f>IFERROR(INDEX($C$2:$C$21,MATCH(LARGE($H$2:$H$21,2),$H$2:$H$21,0)),"")</f>
        <v/>
      </c>
      <c r="Q3">
        <f>IFERROR(INDEX($D$2:$D$21,MATCH(LARGE($H$2:$H$21,2),$H$2:$H$21,0)),"")</f>
        <v/>
      </c>
      <c r="S3">
        <f t="array" ref="S3">IFERROR(MATCH(LARGE(IF((RE[Status]&lt;&gt;"Bezahlt")*(RE[Faelligkeit]&lt;&gt;"")*(RE[Faelligkeit]&lt;TODAY()),RE[Brutto]+(ROW(RE[Brutto])-MIN(ROW(RE[Brutto])))/100000,""),3),IF((RE[Status]&lt;&gt;"Bezahlt")*(RE[Faelligkeit]&lt;&gt;"")*(RE[Faelligkeit]&lt;TODAY()),RE[Brutto]+(ROW(RE[Brutto])-MIN(ROW(RE[Brutto])))/100000,""),0),"")</f>
        <v/>
      </c>
      <c r="U3">
        <f t="array" ref="U3">IFERROR(SMALL(IF(RE[Status]&lt;&gt;"Bezahlt",ROW(RE[Status])-MIN(ROW(RE[Status]))+1),3),"")</f>
        <v/>
      </c>
    </row>
    <row r="4">
      <c r="A4">
        <f t="array" ref="A4">IFERROR(INDEX(Projekte!$B$2:$B$1000,MATCH(0,COUNTIF($A$1:$A3,Projekte!$B$2:$B$1000)+(Projekte!$B$2:$B$1000=""),0)),"")</f>
        <v/>
      </c>
      <c r="C4">
        <f t="array" ref="C4">IFERROR(INDEX(Kreditoren!$C$2:$C$1000,MATCH(0,COUNTIF($C$1:$C3,Kreditoren!$C$2:$C$1000)+(Kreditoren!$C$2:$C$1000=""),0)),"")</f>
        <v/>
      </c>
      <c r="D4">
        <f>IF($C4="","",SUMPRODUCT(((Übersicht!$A$11="Alle Gesellschaften")+(RE[Gesellschaft]=Übersicht!$A$11))*((Übersicht!$A$15="Alle Lieferanten")+(RE[Lieferant]=Übersicht!$A$15))*(RE[Kategorie]=$C4)*RE[Brutto]))</f>
        <v/>
      </c>
      <c r="E4">
        <f>IF(Kreditoren!$B4="","",Kreditoren!$B4)</f>
        <v/>
      </c>
      <c r="F4">
        <f>IF($E4="","",SUMPRODUCT(((Übersicht!$A$11="Alle Gesellschaften")+(RE[Gesellschaft]=Übersicht!$A$11))*((Übersicht!$A$13="Alle Kategorien")+(RE[Kategorie]=Übersicht!$A$13))*(RE[Lieferant]=$E4)*RE[Brutto]))</f>
        <v/>
      </c>
      <c r="G4">
        <f>IF($E4="","",$F4+ROW()/100000)</f>
        <v/>
      </c>
      <c r="H4">
        <f>IF($C4="","",$D4+ROW()/100000)</f>
        <v/>
      </c>
      <c r="I4">
        <f>EDATE(I3,1)</f>
        <v/>
      </c>
      <c r="J4">
        <f>CHOOSE(MONTH(I4),"Jan","Feb","Mär","Apr","Mai","Jun","Jul","Aug","Sep","Okt","Nov","Dez")&amp;" "&amp;RIGHT(YEAR(I4),2)</f>
        <v/>
      </c>
      <c r="K4">
        <f>SUMPRODUCT(((Übersicht!$A$11="Alle Gesellschaften")+(RE[Gesellschaft]=Übersicht!$A$11))*((Übersicht!$A$13="Alle Kategorien")+(RE[Kategorie]=Übersicht!$A$13))*((Übersicht!$A$15="Alle Lieferanten")+(RE[Lieferant]=Übersicht!$A$15))*(RE[RE-Datum]&gt;=I4)*(RE[RE-Datum]&lt;EDATE(I4,1))*RE[Brutto])</f>
        <v/>
      </c>
      <c r="M4">
        <f>IFERROR(INDEX($E$2:$E$41,MATCH(LARGE($G$2:$G$41,3),$G$2:$G$41,0)),"")</f>
        <v/>
      </c>
      <c r="N4">
        <f>IFERROR(INDEX($F$2:$F$41,MATCH(LARGE($G$2:$G$41,3),$G$2:$G$41,0)),"")</f>
        <v/>
      </c>
      <c r="P4">
        <f>IFERROR(INDEX($C$2:$C$21,MATCH(LARGE($H$2:$H$21,3),$H$2:$H$21,0)),"")</f>
        <v/>
      </c>
      <c r="Q4">
        <f>IFERROR(INDEX($D$2:$D$21,MATCH(LARGE($H$2:$H$21,3),$H$2:$H$21,0)),"")</f>
        <v/>
      </c>
      <c r="S4">
        <f t="array" ref="S4">IFERROR(MATCH(LARGE(IF((RE[Status]&lt;&gt;"Bezahlt")*(RE[Faelligkeit]&lt;&gt;"")*(RE[Faelligkeit]&lt;TODAY()),RE[Brutto]+(ROW(RE[Brutto])-MIN(ROW(RE[Brutto])))/100000,""),4),IF((RE[Status]&lt;&gt;"Bezahlt")*(RE[Faelligkeit]&lt;&gt;"")*(RE[Faelligkeit]&lt;TODAY()),RE[Brutto]+(ROW(RE[Brutto])-MIN(ROW(RE[Brutto])))/100000,""),0),"")</f>
        <v/>
      </c>
      <c r="U4">
        <f t="array" ref="U4">IFERROR(SMALL(IF(RE[Status]&lt;&gt;"Bezahlt",ROW(RE[Status])-MIN(ROW(RE[Status]))+1),4),"")</f>
        <v/>
      </c>
    </row>
    <row r="5">
      <c r="A5">
        <f t="array" ref="A5">IFERROR(INDEX(Projekte!$B$2:$B$1000,MATCH(0,COUNTIF($A$1:$A4,Projekte!$B$2:$B$1000)+(Projekte!$B$2:$B$1000=""),0)),"")</f>
        <v/>
      </c>
      <c r="C5">
        <f t="array" ref="C5">IFERROR(INDEX(Kreditoren!$C$2:$C$1000,MATCH(0,COUNTIF($C$1:$C4,Kreditoren!$C$2:$C$1000)+(Kreditoren!$C$2:$C$1000=""),0)),"")</f>
        <v/>
      </c>
      <c r="D5">
        <f>IF($C5="","",SUMPRODUCT(((Übersicht!$A$11="Alle Gesellschaften")+(RE[Gesellschaft]=Übersicht!$A$11))*((Übersicht!$A$15="Alle Lieferanten")+(RE[Lieferant]=Übersicht!$A$15))*(RE[Kategorie]=$C5)*RE[Brutto]))</f>
        <v/>
      </c>
      <c r="E5">
        <f>IF(Kreditoren!$B5="","",Kreditoren!$B5)</f>
        <v/>
      </c>
      <c r="F5">
        <f>IF($E5="","",SUMPRODUCT(((Übersicht!$A$11="Alle Gesellschaften")+(RE[Gesellschaft]=Übersicht!$A$11))*((Übersicht!$A$13="Alle Kategorien")+(RE[Kategorie]=Übersicht!$A$13))*(RE[Lieferant]=$E5)*RE[Brutto]))</f>
        <v/>
      </c>
      <c r="G5">
        <f>IF($E5="","",$F5+ROW()/100000)</f>
        <v/>
      </c>
      <c r="H5">
        <f>IF($C5="","",$D5+ROW()/100000)</f>
        <v/>
      </c>
      <c r="I5">
        <f>EDATE(I4,1)</f>
        <v/>
      </c>
      <c r="J5">
        <f>CHOOSE(MONTH(I5),"Jan","Feb","Mär","Apr","Mai","Jun","Jul","Aug","Sep","Okt","Nov","Dez")&amp;" "&amp;RIGHT(YEAR(I5),2)</f>
        <v/>
      </c>
      <c r="K5">
        <f>SUMPRODUCT(((Übersicht!$A$11="Alle Gesellschaften")+(RE[Gesellschaft]=Übersicht!$A$11))*((Übersicht!$A$13="Alle Kategorien")+(RE[Kategorie]=Übersicht!$A$13))*((Übersicht!$A$15="Alle Lieferanten")+(RE[Lieferant]=Übersicht!$A$15))*(RE[RE-Datum]&gt;=I5)*(RE[RE-Datum]&lt;EDATE(I5,1))*RE[Brutto])</f>
        <v/>
      </c>
      <c r="M5">
        <f>IFERROR(INDEX($E$2:$E$41,MATCH(LARGE($G$2:$G$41,4),$G$2:$G$41,0)),"")</f>
        <v/>
      </c>
      <c r="N5">
        <f>IFERROR(INDEX($F$2:$F$41,MATCH(LARGE($G$2:$G$41,4),$G$2:$G$41,0)),"")</f>
        <v/>
      </c>
      <c r="P5">
        <f>IFERROR(INDEX($C$2:$C$21,MATCH(LARGE($H$2:$H$21,4),$H$2:$H$21,0)),"")</f>
        <v/>
      </c>
      <c r="Q5">
        <f>IFERROR(INDEX($D$2:$D$21,MATCH(LARGE($H$2:$H$21,4),$H$2:$H$21,0)),"")</f>
        <v/>
      </c>
      <c r="S5">
        <f t="array" ref="S5">IFERROR(MATCH(LARGE(IF((RE[Status]&lt;&gt;"Bezahlt")*(RE[Faelligkeit]&lt;&gt;"")*(RE[Faelligkeit]&lt;TODAY()),RE[Brutto]+(ROW(RE[Brutto])-MIN(ROW(RE[Brutto])))/100000,""),5),IF((RE[Status]&lt;&gt;"Bezahlt")*(RE[Faelligkeit]&lt;&gt;"")*(RE[Faelligkeit]&lt;TODAY()),RE[Brutto]+(ROW(RE[Brutto])-MIN(ROW(RE[Brutto])))/100000,""),0),"")</f>
        <v/>
      </c>
      <c r="U5">
        <f t="array" ref="U5">IFERROR(SMALL(IF(RE[Status]&lt;&gt;"Bezahlt",ROW(RE[Status])-MIN(ROW(RE[Status]))+1),5),"")</f>
        <v/>
      </c>
    </row>
    <row r="6">
      <c r="A6">
        <f t="array" ref="A6">IFERROR(INDEX(Projekte!$B$2:$B$1000,MATCH(0,COUNTIF($A$1:$A5,Projekte!$B$2:$B$1000)+(Projekte!$B$2:$B$1000=""),0)),"")</f>
        <v/>
      </c>
      <c r="C6">
        <f t="array" ref="C6">IFERROR(INDEX(Kreditoren!$C$2:$C$1000,MATCH(0,COUNTIF($C$1:$C5,Kreditoren!$C$2:$C$1000)+(Kreditoren!$C$2:$C$1000=""),0)),"")</f>
        <v/>
      </c>
      <c r="D6">
        <f>IF($C6="","",SUMPRODUCT(((Übersicht!$A$11="Alle Gesellschaften")+(RE[Gesellschaft]=Übersicht!$A$11))*((Übersicht!$A$15="Alle Lieferanten")+(RE[Lieferant]=Übersicht!$A$15))*(RE[Kategorie]=$C6)*RE[Brutto]))</f>
        <v/>
      </c>
      <c r="E6">
        <f>IF(Kreditoren!$B6="","",Kreditoren!$B6)</f>
        <v/>
      </c>
      <c r="F6">
        <f>IF($E6="","",SUMPRODUCT(((Übersicht!$A$11="Alle Gesellschaften")+(RE[Gesellschaft]=Übersicht!$A$11))*((Übersicht!$A$13="Alle Kategorien")+(RE[Kategorie]=Übersicht!$A$13))*(RE[Lieferant]=$E6)*RE[Brutto]))</f>
        <v/>
      </c>
      <c r="G6">
        <f>IF($E6="","",$F6+ROW()/100000)</f>
        <v/>
      </c>
      <c r="H6">
        <f>IF($C6="","",$D6+ROW()/100000)</f>
        <v/>
      </c>
      <c r="I6">
        <f>EDATE(I5,1)</f>
        <v/>
      </c>
      <c r="J6">
        <f>CHOOSE(MONTH(I6),"Jan","Feb","Mär","Apr","Mai","Jun","Jul","Aug","Sep","Okt","Nov","Dez")&amp;" "&amp;RIGHT(YEAR(I6),2)</f>
        <v/>
      </c>
      <c r="K6">
        <f>SUMPRODUCT(((Übersicht!$A$11="Alle Gesellschaften")+(RE[Gesellschaft]=Übersicht!$A$11))*((Übersicht!$A$13="Alle Kategorien")+(RE[Kategorie]=Übersicht!$A$13))*((Übersicht!$A$15="Alle Lieferanten")+(RE[Lieferant]=Übersicht!$A$15))*(RE[RE-Datum]&gt;=I6)*(RE[RE-Datum]&lt;EDATE(I6,1))*RE[Brutto])</f>
        <v/>
      </c>
      <c r="M6">
        <f>IFERROR(INDEX($E$2:$E$41,MATCH(LARGE($G$2:$G$41,5),$G$2:$G$41,0)),"")</f>
        <v/>
      </c>
      <c r="N6">
        <f>IFERROR(INDEX($F$2:$F$41,MATCH(LARGE($G$2:$G$41,5),$G$2:$G$41,0)),"")</f>
        <v/>
      </c>
      <c r="P6">
        <f>IFERROR(INDEX($C$2:$C$21,MATCH(LARGE($H$2:$H$21,5),$H$2:$H$21,0)),"")</f>
        <v/>
      </c>
      <c r="Q6">
        <f>IFERROR(INDEX($D$2:$D$21,MATCH(LARGE($H$2:$H$21,5),$H$2:$H$21,0)),"")</f>
        <v/>
      </c>
      <c r="S6">
        <f t="array" ref="S6">IFERROR(MATCH(LARGE(IF((RE[Status]&lt;&gt;"Bezahlt")*(RE[Faelligkeit]&lt;&gt;"")*(RE[Faelligkeit]&lt;TODAY()),RE[Brutto]+(ROW(RE[Brutto])-MIN(ROW(RE[Brutto])))/100000,""),6),IF((RE[Status]&lt;&gt;"Bezahlt")*(RE[Faelligkeit]&lt;&gt;"")*(RE[Faelligkeit]&lt;TODAY()),RE[Brutto]+(ROW(RE[Brutto])-MIN(ROW(RE[Brutto])))/100000,""),0),"")</f>
        <v/>
      </c>
      <c r="U6">
        <f t="array" ref="U6">IFERROR(SMALL(IF(RE[Status]&lt;&gt;"Bezahlt",ROW(RE[Status])-MIN(ROW(RE[Status]))+1),6),"")</f>
        <v/>
      </c>
    </row>
    <row r="7">
      <c r="A7">
        <f t="array" ref="A7">IFERROR(INDEX(Projekte!$B$2:$B$1000,MATCH(0,COUNTIF($A$1:$A6,Projekte!$B$2:$B$1000)+(Projekte!$B$2:$B$1000=""),0)),"")</f>
        <v/>
      </c>
      <c r="C7">
        <f t="array" ref="C7">IFERROR(INDEX(Kreditoren!$C$2:$C$1000,MATCH(0,COUNTIF($C$1:$C6,Kreditoren!$C$2:$C$1000)+(Kreditoren!$C$2:$C$1000=""),0)),"")</f>
        <v/>
      </c>
      <c r="D7">
        <f>IF($C7="","",SUMPRODUCT(((Übersicht!$A$11="Alle Gesellschaften")+(RE[Gesellschaft]=Übersicht!$A$11))*((Übersicht!$A$15="Alle Lieferanten")+(RE[Lieferant]=Übersicht!$A$15))*(RE[Kategorie]=$C7)*RE[Brutto]))</f>
        <v/>
      </c>
      <c r="E7">
        <f>IF(Kreditoren!$B7="","",Kreditoren!$B7)</f>
        <v/>
      </c>
      <c r="F7">
        <f>IF($E7="","",SUMPRODUCT(((Übersicht!$A$11="Alle Gesellschaften")+(RE[Gesellschaft]=Übersicht!$A$11))*((Übersicht!$A$13="Alle Kategorien")+(RE[Kategorie]=Übersicht!$A$13))*(RE[Lieferant]=$E7)*RE[Brutto]))</f>
        <v/>
      </c>
      <c r="G7">
        <f>IF($E7="","",$F7+ROW()/100000)</f>
        <v/>
      </c>
      <c r="H7">
        <f>IF($C7="","",$D7+ROW()/100000)</f>
        <v/>
      </c>
      <c r="I7">
        <f>EDATE(I6,1)</f>
        <v/>
      </c>
      <c r="J7">
        <f>CHOOSE(MONTH(I7),"Jan","Feb","Mär","Apr","Mai","Jun","Jul","Aug","Sep","Okt","Nov","Dez")&amp;" "&amp;RIGHT(YEAR(I7),2)</f>
        <v/>
      </c>
      <c r="K7">
        <f>SUMPRODUCT(((Übersicht!$A$11="Alle Gesellschaften")+(RE[Gesellschaft]=Übersicht!$A$11))*((Übersicht!$A$13="Alle Kategorien")+(RE[Kategorie]=Übersicht!$A$13))*((Übersicht!$A$15="Alle Lieferanten")+(RE[Lieferant]=Übersicht!$A$15))*(RE[RE-Datum]&gt;=I7)*(RE[RE-Datum]&lt;EDATE(I7,1))*RE[Brutto])</f>
        <v/>
      </c>
      <c r="M7">
        <f>IFERROR(INDEX($E$2:$E$41,MATCH(LARGE($G$2:$G$41,6),$G$2:$G$41,0)),"")</f>
        <v/>
      </c>
      <c r="N7">
        <f>IFERROR(INDEX($F$2:$F$41,MATCH(LARGE($G$2:$G$41,6),$G$2:$G$41,0)),"")</f>
        <v/>
      </c>
      <c r="P7">
        <f>IFERROR(INDEX($C$2:$C$21,MATCH(LARGE($H$2:$H$21,6),$H$2:$H$21,0)),"")</f>
        <v/>
      </c>
      <c r="Q7">
        <f>IFERROR(INDEX($D$2:$D$21,MATCH(LARGE($H$2:$H$21,6),$H$2:$H$21,0)),"")</f>
        <v/>
      </c>
      <c r="S7">
        <f t="array" ref="S7">IFERROR(MATCH(LARGE(IF((RE[Status]&lt;&gt;"Bezahlt")*(RE[Faelligkeit]&lt;&gt;"")*(RE[Faelligkeit]&lt;TODAY()),RE[Brutto]+(ROW(RE[Brutto])-MIN(ROW(RE[Brutto])))/100000,""),7),IF((RE[Status]&lt;&gt;"Bezahlt")*(RE[Faelligkeit]&lt;&gt;"")*(RE[Faelligkeit]&lt;TODAY()),RE[Brutto]+(ROW(RE[Brutto])-MIN(ROW(RE[Brutto])))/100000,""),0),"")</f>
        <v/>
      </c>
      <c r="U7">
        <f t="array" ref="U7">IFERROR(SMALL(IF(RE[Status]&lt;&gt;"Bezahlt",ROW(RE[Status])-MIN(ROW(RE[Status]))+1),7),"")</f>
        <v/>
      </c>
    </row>
    <row r="8">
      <c r="A8">
        <f t="array" ref="A8">IFERROR(INDEX(Projekte!$B$2:$B$1000,MATCH(0,COUNTIF($A$1:$A7,Projekte!$B$2:$B$1000)+(Projekte!$B$2:$B$1000=""),0)),"")</f>
        <v/>
      </c>
      <c r="C8">
        <f t="array" ref="C8">IFERROR(INDEX(Kreditoren!$C$2:$C$1000,MATCH(0,COUNTIF($C$1:$C7,Kreditoren!$C$2:$C$1000)+(Kreditoren!$C$2:$C$1000=""),0)),"")</f>
        <v/>
      </c>
      <c r="D8">
        <f>IF($C8="","",SUMPRODUCT(((Übersicht!$A$11="Alle Gesellschaften")+(RE[Gesellschaft]=Übersicht!$A$11))*((Übersicht!$A$15="Alle Lieferanten")+(RE[Lieferant]=Übersicht!$A$15))*(RE[Kategorie]=$C8)*RE[Brutto]))</f>
        <v/>
      </c>
      <c r="E8">
        <f>IF(Kreditoren!$B8="","",Kreditoren!$B8)</f>
        <v/>
      </c>
      <c r="F8">
        <f>IF($E8="","",SUMPRODUCT(((Übersicht!$A$11="Alle Gesellschaften")+(RE[Gesellschaft]=Übersicht!$A$11))*((Übersicht!$A$13="Alle Kategorien")+(RE[Kategorie]=Übersicht!$A$13))*(RE[Lieferant]=$E8)*RE[Brutto]))</f>
        <v/>
      </c>
      <c r="G8">
        <f>IF($E8="","",$F8+ROW()/100000)</f>
        <v/>
      </c>
      <c r="H8">
        <f>IF($C8="","",$D8+ROW()/100000)</f>
        <v/>
      </c>
      <c r="M8">
        <f>IFERROR(INDEX($E$2:$E$41,MATCH(LARGE($G$2:$G$41,7),$G$2:$G$41,0)),"")</f>
        <v/>
      </c>
      <c r="N8">
        <f>IFERROR(INDEX($F$2:$F$41,MATCH(LARGE($G$2:$G$41,7),$G$2:$G$41,0)),"")</f>
        <v/>
      </c>
      <c r="P8">
        <f>IF(ROUND(SUM($D$2:$D$21)-SUM($Q$2:$Q$7),0)&gt;0,"Sonstige","")</f>
        <v/>
      </c>
      <c r="Q8">
        <f>IF(ROUND(SUM($D$2:$D$21)-SUM($Q$2:$Q$7),0)&gt;0,SUM($D$2:$D$21)-SUM($Q$2:$Q$7),"")</f>
        <v/>
      </c>
      <c r="S8">
        <f t="array" ref="S8">IFERROR(MATCH(LARGE(IF((RE[Status]&lt;&gt;"Bezahlt")*(RE[Faelligkeit]&lt;&gt;"")*(RE[Faelligkeit]&lt;TODAY()),RE[Brutto]+(ROW(RE[Brutto])-MIN(ROW(RE[Brutto])))/100000,""),8),IF((RE[Status]&lt;&gt;"Bezahlt")*(RE[Faelligkeit]&lt;&gt;"")*(RE[Faelligkeit]&lt;TODAY()),RE[Brutto]+(ROW(RE[Brutto])-MIN(ROW(RE[Brutto])))/100000,""),0),"")</f>
        <v/>
      </c>
      <c r="U8">
        <f t="array" ref="U8">IFERROR(SMALL(IF(RE[Status]&lt;&gt;"Bezahlt",ROW(RE[Status])-MIN(ROW(RE[Status]))+1),8),"")</f>
        <v/>
      </c>
    </row>
    <row r="9">
      <c r="A9">
        <f t="array" ref="A9">IFERROR(INDEX(Projekte!$B$2:$B$1000,MATCH(0,COUNTIF($A$1:$A8,Projekte!$B$2:$B$1000)+(Projekte!$B$2:$B$1000=""),0)),"")</f>
        <v/>
      </c>
      <c r="C9">
        <f t="array" ref="C9">IFERROR(INDEX(Kreditoren!$C$2:$C$1000,MATCH(0,COUNTIF($C$1:$C8,Kreditoren!$C$2:$C$1000)+(Kreditoren!$C$2:$C$1000=""),0)),"")</f>
        <v/>
      </c>
      <c r="D9">
        <f>IF($C9="","",SUMPRODUCT(((Übersicht!$A$11="Alle Gesellschaften")+(RE[Gesellschaft]=Übersicht!$A$11))*((Übersicht!$A$15="Alle Lieferanten")+(RE[Lieferant]=Übersicht!$A$15))*(RE[Kategorie]=$C9)*RE[Brutto]))</f>
        <v/>
      </c>
      <c r="E9">
        <f>IF(Kreditoren!$B9="","",Kreditoren!$B9)</f>
        <v/>
      </c>
      <c r="F9">
        <f>IF($E9="","",SUMPRODUCT(((Übersicht!$A$11="Alle Gesellschaften")+(RE[Gesellschaft]=Übersicht!$A$11))*((Übersicht!$A$13="Alle Kategorien")+(RE[Kategorie]=Übersicht!$A$13))*(RE[Lieferant]=$E9)*RE[Brutto]))</f>
        <v/>
      </c>
      <c r="G9">
        <f>IF($E9="","",$F9+ROW()/100000)</f>
        <v/>
      </c>
      <c r="H9">
        <f>IF($C9="","",$D9+ROW()/100000)</f>
        <v/>
      </c>
      <c r="M9">
        <f>IFERROR(INDEX($E$2:$E$41,MATCH(LARGE($G$2:$G$41,8),$G$2:$G$41,0)),"")</f>
        <v/>
      </c>
      <c r="N9">
        <f>IFERROR(INDEX($F$2:$F$41,MATCH(LARGE($G$2:$G$41,8),$G$2:$G$41,0)),"")</f>
        <v/>
      </c>
      <c r="U9">
        <f t="array" ref="U9">IFERROR(SMALL(IF(RE[Status]&lt;&gt;"Bezahlt",ROW(RE[Status])-MIN(ROW(RE[Status]))+1),9),"")</f>
        <v/>
      </c>
    </row>
    <row r="10">
      <c r="A10">
        <f t="array" ref="A10">IFERROR(INDEX(Projekte!$B$2:$B$1000,MATCH(0,COUNTIF($A$1:$A9,Projekte!$B$2:$B$1000)+(Projekte!$B$2:$B$1000=""),0)),"")</f>
        <v/>
      </c>
      <c r="C10">
        <f t="array" ref="C10">IFERROR(INDEX(Kreditoren!$C$2:$C$1000,MATCH(0,COUNTIF($C$1:$C9,Kreditoren!$C$2:$C$1000)+(Kreditoren!$C$2:$C$1000=""),0)),"")</f>
        <v/>
      </c>
      <c r="D10">
        <f>IF($C10="","",SUMPRODUCT(((Übersicht!$A$11="Alle Gesellschaften")+(RE[Gesellschaft]=Übersicht!$A$11))*((Übersicht!$A$15="Alle Lieferanten")+(RE[Lieferant]=Übersicht!$A$15))*(RE[Kategorie]=$C10)*RE[Brutto]))</f>
        <v/>
      </c>
      <c r="E10">
        <f>IF(Kreditoren!$B10="","",Kreditoren!$B10)</f>
        <v/>
      </c>
      <c r="F10">
        <f>IF($E10="","",SUMPRODUCT(((Übersicht!$A$11="Alle Gesellschaften")+(RE[Gesellschaft]=Übersicht!$A$11))*((Übersicht!$A$13="Alle Kategorien")+(RE[Kategorie]=Übersicht!$A$13))*(RE[Lieferant]=$E10)*RE[Brutto]))</f>
        <v/>
      </c>
      <c r="G10">
        <f>IF($E10="","",$F10+ROW()/100000)</f>
        <v/>
      </c>
      <c r="H10">
        <f>IF($C10="","",$D10+ROW()/100000)</f>
        <v/>
      </c>
      <c r="M10">
        <f>IFERROR(INDEX($E$2:$E$41,MATCH(LARGE($G$2:$G$41,9),$G$2:$G$41,0)),"")</f>
        <v/>
      </c>
      <c r="N10">
        <f>IFERROR(INDEX($F$2:$F$41,MATCH(LARGE($G$2:$G$41,9),$G$2:$G$41,0)),"")</f>
        <v/>
      </c>
      <c r="U10">
        <f t="array" ref="U10">IFERROR(SMALL(IF(RE[Status]&lt;&gt;"Bezahlt",ROW(RE[Status])-MIN(ROW(RE[Status]))+1),10),"")</f>
        <v/>
      </c>
    </row>
    <row r="11">
      <c r="A11">
        <f t="array" ref="A11">IFERROR(INDEX(Projekte!$B$2:$B$1000,MATCH(0,COUNTIF($A$1:$A10,Projekte!$B$2:$B$1000)+(Projekte!$B$2:$B$1000=""),0)),"")</f>
        <v/>
      </c>
      <c r="C11">
        <f t="array" ref="C11">IFERROR(INDEX(Kreditoren!$C$2:$C$1000,MATCH(0,COUNTIF($C$1:$C10,Kreditoren!$C$2:$C$1000)+(Kreditoren!$C$2:$C$1000=""),0)),"")</f>
        <v/>
      </c>
      <c r="D11">
        <f>IF($C11="","",SUMPRODUCT(((Übersicht!$A$11="Alle Gesellschaften")+(RE[Gesellschaft]=Übersicht!$A$11))*((Übersicht!$A$15="Alle Lieferanten")+(RE[Lieferant]=Übersicht!$A$15))*(RE[Kategorie]=$C11)*RE[Brutto]))</f>
        <v/>
      </c>
      <c r="E11">
        <f>IF(Kreditoren!$B11="","",Kreditoren!$B11)</f>
        <v/>
      </c>
      <c r="F11">
        <f>IF($E11="","",SUMPRODUCT(((Übersicht!$A$11="Alle Gesellschaften")+(RE[Gesellschaft]=Übersicht!$A$11))*((Übersicht!$A$13="Alle Kategorien")+(RE[Kategorie]=Übersicht!$A$13))*(RE[Lieferant]=$E11)*RE[Brutto]))</f>
        <v/>
      </c>
      <c r="G11">
        <f>IF($E11="","",$F11+ROW()/100000)</f>
        <v/>
      </c>
      <c r="H11">
        <f>IF($C11="","",$D11+ROW()/100000)</f>
        <v/>
      </c>
      <c r="M11">
        <f>IFERROR(INDEX($E$2:$E$41,MATCH(LARGE($G$2:$G$41,10),$G$2:$G$41,0)),"")</f>
        <v/>
      </c>
      <c r="N11">
        <f>IFERROR(INDEX($F$2:$F$41,MATCH(LARGE($G$2:$G$41,10),$G$2:$G$41,0)),"")</f>
        <v/>
      </c>
      <c r="U11">
        <f t="array" ref="U11">IFERROR(SMALL(IF(RE[Status]&lt;&gt;"Bezahlt",ROW(RE[Status])-MIN(ROW(RE[Status]))+1),11),"")</f>
        <v/>
      </c>
    </row>
    <row r="12">
      <c r="A12">
        <f t="array" ref="A12">IFERROR(INDEX(Projekte!$B$2:$B$1000,MATCH(0,COUNTIF($A$1:$A11,Projekte!$B$2:$B$1000)+(Projekte!$B$2:$B$1000=""),0)),"")</f>
        <v/>
      </c>
      <c r="C12">
        <f t="array" ref="C12">IFERROR(INDEX(Kreditoren!$C$2:$C$1000,MATCH(0,COUNTIF($C$1:$C11,Kreditoren!$C$2:$C$1000)+(Kreditoren!$C$2:$C$1000=""),0)),"")</f>
        <v/>
      </c>
      <c r="D12">
        <f>IF($C12="","",SUMPRODUCT(((Übersicht!$A$11="Alle Gesellschaften")+(RE[Gesellschaft]=Übersicht!$A$11))*((Übersicht!$A$15="Alle Lieferanten")+(RE[Lieferant]=Übersicht!$A$15))*(RE[Kategorie]=$C12)*RE[Brutto]))</f>
        <v/>
      </c>
      <c r="E12">
        <f>IF(Kreditoren!$B12="","",Kreditoren!$B12)</f>
        <v/>
      </c>
      <c r="F12">
        <f>IF($E12="","",SUMPRODUCT(((Übersicht!$A$11="Alle Gesellschaften")+(RE[Gesellschaft]=Übersicht!$A$11))*((Übersicht!$A$13="Alle Kategorien")+(RE[Kategorie]=Übersicht!$A$13))*(RE[Lieferant]=$E12)*RE[Brutto]))</f>
        <v/>
      </c>
      <c r="G12">
        <f>IF($E12="","",$F12+ROW()/100000)</f>
        <v/>
      </c>
      <c r="H12">
        <f>IF($C12="","",$D12+ROW()/100000)</f>
        <v/>
      </c>
      <c r="M12">
        <f>IF(ROUND(SUM($F$2:$F$41)-SUM($N$2:$N$11),0)&gt;0,"Sonstige","")</f>
        <v/>
      </c>
      <c r="N12">
        <f>IF(ROUND(SUM($F$2:$F$41)-SUM($N$2:$N$11),0)&gt;0,SUM($F$2:$F$41)-SUM($N$2:$N$11),"")</f>
        <v/>
      </c>
      <c r="U12">
        <f t="array" ref="U12">IFERROR(SMALL(IF(RE[Status]&lt;&gt;"Bezahlt",ROW(RE[Status])-MIN(ROW(RE[Status]))+1),12),"")</f>
        <v/>
      </c>
    </row>
    <row r="13">
      <c r="A13">
        <f t="array" ref="A13">IFERROR(INDEX(Projekte!$B$2:$B$1000,MATCH(0,COUNTIF($A$1:$A12,Projekte!$B$2:$B$1000)+(Projekte!$B$2:$B$1000=""),0)),"")</f>
        <v/>
      </c>
      <c r="C13">
        <f t="array" ref="C13">IFERROR(INDEX(Kreditoren!$C$2:$C$1000,MATCH(0,COUNTIF($C$1:$C12,Kreditoren!$C$2:$C$1000)+(Kreditoren!$C$2:$C$1000=""),0)),"")</f>
        <v/>
      </c>
      <c r="D13">
        <f>IF($C13="","",SUMPRODUCT(((Übersicht!$A$11="Alle Gesellschaften")+(RE[Gesellschaft]=Übersicht!$A$11))*((Übersicht!$A$15="Alle Lieferanten")+(RE[Lieferant]=Übersicht!$A$15))*(RE[Kategorie]=$C13)*RE[Brutto]))</f>
        <v/>
      </c>
      <c r="E13">
        <f>IF(Kreditoren!$B13="","",Kreditoren!$B13)</f>
        <v/>
      </c>
      <c r="F13">
        <f>IF($E13="","",SUMPRODUCT(((Übersicht!$A$11="Alle Gesellschaften")+(RE[Gesellschaft]=Übersicht!$A$11))*((Übersicht!$A$13="Alle Kategorien")+(RE[Kategorie]=Übersicht!$A$13))*(RE[Lieferant]=$E13)*RE[Brutto]))</f>
        <v/>
      </c>
      <c r="G13">
        <f>IF($E13="","",$F13+ROW()/100000)</f>
        <v/>
      </c>
      <c r="H13">
        <f>IF($C13="","",$D13+ROW()/100000)</f>
        <v/>
      </c>
      <c r="U13">
        <f t="array" ref="U13">IFERROR(SMALL(IF(RE[Status]&lt;&gt;"Bezahlt",ROW(RE[Status])-MIN(ROW(RE[Status]))+1),13),"")</f>
        <v/>
      </c>
    </row>
    <row r="14">
      <c r="A14">
        <f t="array" ref="A14">IFERROR(INDEX(Projekte!$B$2:$B$1000,MATCH(0,COUNTIF($A$1:$A13,Projekte!$B$2:$B$1000)+(Projekte!$B$2:$B$1000=""),0)),"")</f>
        <v/>
      </c>
      <c r="C14">
        <f t="array" ref="C14">IFERROR(INDEX(Kreditoren!$C$2:$C$1000,MATCH(0,COUNTIF($C$1:$C13,Kreditoren!$C$2:$C$1000)+(Kreditoren!$C$2:$C$1000=""),0)),"")</f>
        <v/>
      </c>
      <c r="D14">
        <f>IF($C14="","",SUMPRODUCT(((Übersicht!$A$11="Alle Gesellschaften")+(RE[Gesellschaft]=Übersicht!$A$11))*((Übersicht!$A$15="Alle Lieferanten")+(RE[Lieferant]=Übersicht!$A$15))*(RE[Kategorie]=$C14)*RE[Brutto]))</f>
        <v/>
      </c>
      <c r="E14">
        <f>IF(Kreditoren!$B14="","",Kreditoren!$B14)</f>
        <v/>
      </c>
      <c r="F14">
        <f>IF($E14="","",SUMPRODUCT(((Übersicht!$A$11="Alle Gesellschaften")+(RE[Gesellschaft]=Übersicht!$A$11))*((Übersicht!$A$13="Alle Kategorien")+(RE[Kategorie]=Übersicht!$A$13))*(RE[Lieferant]=$E14)*RE[Brutto]))</f>
        <v/>
      </c>
      <c r="G14">
        <f>IF($E14="","",$F14+ROW()/100000)</f>
        <v/>
      </c>
      <c r="H14">
        <f>IF($C14="","",$D14+ROW()/100000)</f>
        <v/>
      </c>
      <c r="U14">
        <f t="array" ref="U14">IFERROR(SMALL(IF(RE[Status]&lt;&gt;"Bezahlt",ROW(RE[Status])-MIN(ROW(RE[Status]))+1),14),"")</f>
        <v/>
      </c>
    </row>
    <row r="15">
      <c r="A15">
        <f t="array" ref="A15">IFERROR(INDEX(Projekte!$B$2:$B$1000,MATCH(0,COUNTIF($A$1:$A14,Projekte!$B$2:$B$1000)+(Projekte!$B$2:$B$1000=""),0)),"")</f>
        <v/>
      </c>
      <c r="C15">
        <f t="array" ref="C15">IFERROR(INDEX(Kreditoren!$C$2:$C$1000,MATCH(0,COUNTIF($C$1:$C14,Kreditoren!$C$2:$C$1000)+(Kreditoren!$C$2:$C$1000=""),0)),"")</f>
        <v/>
      </c>
      <c r="D15">
        <f>IF($C15="","",SUMPRODUCT(((Übersicht!$A$11="Alle Gesellschaften")+(RE[Gesellschaft]=Übersicht!$A$11))*((Übersicht!$A$15="Alle Lieferanten")+(RE[Lieferant]=Übersicht!$A$15))*(RE[Kategorie]=$C15)*RE[Brutto]))</f>
        <v/>
      </c>
      <c r="E15">
        <f>IF(Kreditoren!$B15="","",Kreditoren!$B15)</f>
        <v/>
      </c>
      <c r="F15">
        <f>IF($E15="","",SUMPRODUCT(((Übersicht!$A$11="Alle Gesellschaften")+(RE[Gesellschaft]=Übersicht!$A$11))*((Übersicht!$A$13="Alle Kategorien")+(RE[Kategorie]=Übersicht!$A$13))*(RE[Lieferant]=$E15)*RE[Brutto]))</f>
        <v/>
      </c>
      <c r="G15">
        <f>IF($E15="","",$F15+ROW()/100000)</f>
        <v/>
      </c>
      <c r="H15">
        <f>IF($C15="","",$D15+ROW()/100000)</f>
        <v/>
      </c>
      <c r="U15">
        <f t="array" ref="U15">IFERROR(SMALL(IF(RE[Status]&lt;&gt;"Bezahlt",ROW(RE[Status])-MIN(ROW(RE[Status]))+1),15),"")</f>
        <v/>
      </c>
    </row>
    <row r="16">
      <c r="A16">
        <f t="array" ref="A16">IFERROR(INDEX(Projekte!$B$2:$B$1000,MATCH(0,COUNTIF($A$1:$A15,Projekte!$B$2:$B$1000)+(Projekte!$B$2:$B$1000=""),0)),"")</f>
        <v/>
      </c>
      <c r="C16">
        <f t="array" ref="C16">IFERROR(INDEX(Kreditoren!$C$2:$C$1000,MATCH(0,COUNTIF($C$1:$C15,Kreditoren!$C$2:$C$1000)+(Kreditoren!$C$2:$C$1000=""),0)),"")</f>
        <v/>
      </c>
      <c r="D16">
        <f>IF($C16="","",SUMPRODUCT(((Übersicht!$A$11="Alle Gesellschaften")+(RE[Gesellschaft]=Übersicht!$A$11))*((Übersicht!$A$15="Alle Lieferanten")+(RE[Lieferant]=Übersicht!$A$15))*(RE[Kategorie]=$C16)*RE[Brutto]))</f>
        <v/>
      </c>
      <c r="E16">
        <f>IF(Kreditoren!$B16="","",Kreditoren!$B16)</f>
        <v/>
      </c>
      <c r="F16">
        <f>IF($E16="","",SUMPRODUCT(((Übersicht!$A$11="Alle Gesellschaften")+(RE[Gesellschaft]=Übersicht!$A$11))*((Übersicht!$A$13="Alle Kategorien")+(RE[Kategorie]=Übersicht!$A$13))*(RE[Lieferant]=$E16)*RE[Brutto]))</f>
        <v/>
      </c>
      <c r="G16">
        <f>IF($E16="","",$F16+ROW()/100000)</f>
        <v/>
      </c>
      <c r="H16">
        <f>IF($C16="","",$D16+ROW()/100000)</f>
        <v/>
      </c>
      <c r="U16">
        <f t="array" ref="U16">IFERROR(SMALL(IF(RE[Status]&lt;&gt;"Bezahlt",ROW(RE[Status])-MIN(ROW(RE[Status]))+1),16),"")</f>
        <v/>
      </c>
    </row>
    <row r="17">
      <c r="A17">
        <f t="array" ref="A17">IFERROR(INDEX(Projekte!$B$2:$B$1000,MATCH(0,COUNTIF($A$1:$A16,Projekte!$B$2:$B$1000)+(Projekte!$B$2:$B$1000=""),0)),"")</f>
        <v/>
      </c>
      <c r="C17">
        <f t="array" ref="C17">IFERROR(INDEX(Kreditoren!$C$2:$C$1000,MATCH(0,COUNTIF($C$1:$C16,Kreditoren!$C$2:$C$1000)+(Kreditoren!$C$2:$C$1000=""),0)),"")</f>
        <v/>
      </c>
      <c r="D17">
        <f>IF($C17="","",SUMPRODUCT(((Übersicht!$A$11="Alle Gesellschaften")+(RE[Gesellschaft]=Übersicht!$A$11))*((Übersicht!$A$15="Alle Lieferanten")+(RE[Lieferant]=Übersicht!$A$15))*(RE[Kategorie]=$C17)*RE[Brutto]))</f>
        <v/>
      </c>
      <c r="E17">
        <f>IF(Kreditoren!$B17="","",Kreditoren!$B17)</f>
        <v/>
      </c>
      <c r="F17">
        <f>IF($E17="","",SUMPRODUCT(((Übersicht!$A$11="Alle Gesellschaften")+(RE[Gesellschaft]=Übersicht!$A$11))*((Übersicht!$A$13="Alle Kategorien")+(RE[Kategorie]=Übersicht!$A$13))*(RE[Lieferant]=$E17)*RE[Brutto]))</f>
        <v/>
      </c>
      <c r="G17">
        <f>IF($E17="","",$F17+ROW()/100000)</f>
        <v/>
      </c>
      <c r="H17">
        <f>IF($C17="","",$D17+ROW()/100000)</f>
        <v/>
      </c>
      <c r="U17">
        <f t="array" ref="U17">IFERROR(SMALL(IF(RE[Status]&lt;&gt;"Bezahlt",ROW(RE[Status])-MIN(ROW(RE[Status]))+1),17),"")</f>
        <v/>
      </c>
    </row>
    <row r="18">
      <c r="A18">
        <f t="array" ref="A18">IFERROR(INDEX(Projekte!$B$2:$B$1000,MATCH(0,COUNTIF($A$1:$A17,Projekte!$B$2:$B$1000)+(Projekte!$B$2:$B$1000=""),0)),"")</f>
        <v/>
      </c>
      <c r="C18">
        <f t="array" ref="C18">IFERROR(INDEX(Kreditoren!$C$2:$C$1000,MATCH(0,COUNTIF($C$1:$C17,Kreditoren!$C$2:$C$1000)+(Kreditoren!$C$2:$C$1000=""),0)),"")</f>
        <v/>
      </c>
      <c r="D18">
        <f>IF($C18="","",SUMPRODUCT(((Übersicht!$A$11="Alle Gesellschaften")+(RE[Gesellschaft]=Übersicht!$A$11))*((Übersicht!$A$15="Alle Lieferanten")+(RE[Lieferant]=Übersicht!$A$15))*(RE[Kategorie]=$C18)*RE[Brutto]))</f>
        <v/>
      </c>
      <c r="E18">
        <f>IF(Kreditoren!$B18="","",Kreditoren!$B18)</f>
        <v/>
      </c>
      <c r="F18">
        <f>IF($E18="","",SUMPRODUCT(((Übersicht!$A$11="Alle Gesellschaften")+(RE[Gesellschaft]=Übersicht!$A$11))*((Übersicht!$A$13="Alle Kategorien")+(RE[Kategorie]=Übersicht!$A$13))*(RE[Lieferant]=$E18)*RE[Brutto]))</f>
        <v/>
      </c>
      <c r="G18">
        <f>IF($E18="","",$F18+ROW()/100000)</f>
        <v/>
      </c>
      <c r="H18">
        <f>IF($C18="","",$D18+ROW()/100000)</f>
        <v/>
      </c>
      <c r="U18">
        <f t="array" ref="U18">IFERROR(SMALL(IF(RE[Status]&lt;&gt;"Bezahlt",ROW(RE[Status])-MIN(ROW(RE[Status]))+1),18),"")</f>
        <v/>
      </c>
    </row>
    <row r="19">
      <c r="A19">
        <f t="array" ref="A19">IFERROR(INDEX(Projekte!$B$2:$B$1000,MATCH(0,COUNTIF($A$1:$A18,Projekte!$B$2:$B$1000)+(Projekte!$B$2:$B$1000=""),0)),"")</f>
        <v/>
      </c>
      <c r="C19">
        <f t="array" ref="C19">IFERROR(INDEX(Kreditoren!$C$2:$C$1000,MATCH(0,COUNTIF($C$1:$C18,Kreditoren!$C$2:$C$1000)+(Kreditoren!$C$2:$C$1000=""),0)),"")</f>
        <v/>
      </c>
      <c r="D19">
        <f>IF($C19="","",SUMPRODUCT(((Übersicht!$A$11="Alle Gesellschaften")+(RE[Gesellschaft]=Übersicht!$A$11))*((Übersicht!$A$15="Alle Lieferanten")+(RE[Lieferant]=Übersicht!$A$15))*(RE[Kategorie]=$C19)*RE[Brutto]))</f>
        <v/>
      </c>
      <c r="E19">
        <f>IF(Kreditoren!$B19="","",Kreditoren!$B19)</f>
        <v/>
      </c>
      <c r="F19">
        <f>IF($E19="","",SUMPRODUCT(((Übersicht!$A$11="Alle Gesellschaften")+(RE[Gesellschaft]=Übersicht!$A$11))*((Übersicht!$A$13="Alle Kategorien")+(RE[Kategorie]=Übersicht!$A$13))*(RE[Lieferant]=$E19)*RE[Brutto]))</f>
        <v/>
      </c>
      <c r="G19">
        <f>IF($E19="","",$F19+ROW()/100000)</f>
        <v/>
      </c>
      <c r="H19">
        <f>IF($C19="","",$D19+ROW()/100000)</f>
        <v/>
      </c>
      <c r="U19">
        <f t="array" ref="U19">IFERROR(SMALL(IF(RE[Status]&lt;&gt;"Bezahlt",ROW(RE[Status])-MIN(ROW(RE[Status]))+1),19),"")</f>
        <v/>
      </c>
    </row>
    <row r="20">
      <c r="A20">
        <f t="array" ref="A20">IFERROR(INDEX(Projekte!$B$2:$B$1000,MATCH(0,COUNTIF($A$1:$A19,Projekte!$B$2:$B$1000)+(Projekte!$B$2:$B$1000=""),0)),"")</f>
        <v/>
      </c>
      <c r="C20">
        <f t="array" ref="C20">IFERROR(INDEX(Kreditoren!$C$2:$C$1000,MATCH(0,COUNTIF($C$1:$C19,Kreditoren!$C$2:$C$1000)+(Kreditoren!$C$2:$C$1000=""),0)),"")</f>
        <v/>
      </c>
      <c r="D20">
        <f>IF($C20="","",SUMPRODUCT(((Übersicht!$A$11="Alle Gesellschaften")+(RE[Gesellschaft]=Übersicht!$A$11))*((Übersicht!$A$15="Alle Lieferanten")+(RE[Lieferant]=Übersicht!$A$15))*(RE[Kategorie]=$C20)*RE[Brutto]))</f>
        <v/>
      </c>
      <c r="E20">
        <f>IF(Kreditoren!$B20="","",Kreditoren!$B20)</f>
        <v/>
      </c>
      <c r="F20">
        <f>IF($E20="","",SUMPRODUCT(((Übersicht!$A$11="Alle Gesellschaften")+(RE[Gesellschaft]=Übersicht!$A$11))*((Übersicht!$A$13="Alle Kategorien")+(RE[Kategorie]=Übersicht!$A$13))*(RE[Lieferant]=$E20)*RE[Brutto]))</f>
        <v/>
      </c>
      <c r="G20">
        <f>IF($E20="","",$F20+ROW()/100000)</f>
        <v/>
      </c>
      <c r="H20">
        <f>IF($C20="","",$D20+ROW()/100000)</f>
        <v/>
      </c>
      <c r="U20">
        <f t="array" ref="U20">IFERROR(SMALL(IF(RE[Status]&lt;&gt;"Bezahlt",ROW(RE[Status])-MIN(ROW(RE[Status]))+1),20),"")</f>
        <v/>
      </c>
    </row>
    <row r="21">
      <c r="A21">
        <f t="array" ref="A21">IFERROR(INDEX(Projekte!$B$2:$B$1000,MATCH(0,COUNTIF($A$1:$A20,Projekte!$B$2:$B$1000)+(Projekte!$B$2:$B$1000=""),0)),"")</f>
        <v/>
      </c>
      <c r="C21">
        <f t="array" ref="C21">IFERROR(INDEX(Kreditoren!$C$2:$C$1000,MATCH(0,COUNTIF($C$1:$C20,Kreditoren!$C$2:$C$1000)+(Kreditoren!$C$2:$C$1000=""),0)),"")</f>
        <v/>
      </c>
      <c r="D21">
        <f>IF($C21="","",SUMPRODUCT(((Übersicht!$A$11="Alle Gesellschaften")+(RE[Gesellschaft]=Übersicht!$A$11))*((Übersicht!$A$15="Alle Lieferanten")+(RE[Lieferant]=Übersicht!$A$15))*(RE[Kategorie]=$C21)*RE[Brutto]))</f>
        <v/>
      </c>
      <c r="E21">
        <f>IF(Kreditoren!$B21="","",Kreditoren!$B21)</f>
        <v/>
      </c>
      <c r="F21">
        <f>IF($E21="","",SUMPRODUCT(((Übersicht!$A$11="Alle Gesellschaften")+(RE[Gesellschaft]=Übersicht!$A$11))*((Übersicht!$A$13="Alle Kategorien")+(RE[Kategorie]=Übersicht!$A$13))*(RE[Lieferant]=$E21)*RE[Brutto]))</f>
        <v/>
      </c>
      <c r="G21">
        <f>IF($E21="","",$F21+ROW()/100000)</f>
        <v/>
      </c>
      <c r="H21">
        <f>IF($C21="","",$D21+ROW()/100000)</f>
        <v/>
      </c>
      <c r="U21">
        <f t="array" ref="U21">IFERROR(SMALL(IF(RE[Status]&lt;&gt;"Bezahlt",ROW(RE[Status])-MIN(ROW(RE[Status]))+1),21),"")</f>
        <v/>
      </c>
    </row>
    <row r="22">
      <c r="E22">
        <f>IF(Kreditoren!$B22="","",Kreditoren!$B22)</f>
        <v/>
      </c>
      <c r="F22">
        <f>IF($E22="","",SUMPRODUCT(((Übersicht!$A$11="Alle Gesellschaften")+(RE[Gesellschaft]=Übersicht!$A$11))*((Übersicht!$A$13="Alle Kategorien")+(RE[Kategorie]=Übersicht!$A$13))*(RE[Lieferant]=$E22)*RE[Brutto]))</f>
        <v/>
      </c>
      <c r="G22">
        <f>IF($E22="","",$F22+ROW()/100000)</f>
        <v/>
      </c>
      <c r="U22">
        <f t="array" ref="U22">IFERROR(SMALL(IF(RE[Status]&lt;&gt;"Bezahlt",ROW(RE[Status])-MIN(ROW(RE[Status]))+1),22),"")</f>
        <v/>
      </c>
    </row>
    <row r="23">
      <c r="E23">
        <f>IF(Kreditoren!$B23="","",Kreditoren!$B23)</f>
        <v/>
      </c>
      <c r="F23">
        <f>IF($E23="","",SUMPRODUCT(((Übersicht!$A$11="Alle Gesellschaften")+(RE[Gesellschaft]=Übersicht!$A$11))*((Übersicht!$A$13="Alle Kategorien")+(RE[Kategorie]=Übersicht!$A$13))*(RE[Lieferant]=$E23)*RE[Brutto]))</f>
        <v/>
      </c>
      <c r="G23">
        <f>IF($E23="","",$F23+ROW()/100000)</f>
        <v/>
      </c>
      <c r="U23">
        <f t="array" ref="U23">IFERROR(SMALL(IF(RE[Status]&lt;&gt;"Bezahlt",ROW(RE[Status])-MIN(ROW(RE[Status]))+1),23),"")</f>
        <v/>
      </c>
    </row>
    <row r="24">
      <c r="E24">
        <f>IF(Kreditoren!$B24="","",Kreditoren!$B24)</f>
        <v/>
      </c>
      <c r="F24">
        <f>IF($E24="","",SUMPRODUCT(((Übersicht!$A$11="Alle Gesellschaften")+(RE[Gesellschaft]=Übersicht!$A$11))*((Übersicht!$A$13="Alle Kategorien")+(RE[Kategorie]=Übersicht!$A$13))*(RE[Lieferant]=$E24)*RE[Brutto]))</f>
        <v/>
      </c>
      <c r="G24">
        <f>IF($E24="","",$F24+ROW()/100000)</f>
        <v/>
      </c>
      <c r="U24">
        <f t="array" ref="U24">IFERROR(SMALL(IF(RE[Status]&lt;&gt;"Bezahlt",ROW(RE[Status])-MIN(ROW(RE[Status]))+1),24),"")</f>
        <v/>
      </c>
    </row>
    <row r="25">
      <c r="E25">
        <f>IF(Kreditoren!$B25="","",Kreditoren!$B25)</f>
        <v/>
      </c>
      <c r="F25">
        <f>IF($E25="","",SUMPRODUCT(((Übersicht!$A$11="Alle Gesellschaften")+(RE[Gesellschaft]=Übersicht!$A$11))*((Übersicht!$A$13="Alle Kategorien")+(RE[Kategorie]=Übersicht!$A$13))*(RE[Lieferant]=$E25)*RE[Brutto]))</f>
        <v/>
      </c>
      <c r="G25">
        <f>IF($E25="","",$F25+ROW()/100000)</f>
        <v/>
      </c>
      <c r="U25">
        <f t="array" ref="U25">IFERROR(SMALL(IF(RE[Status]&lt;&gt;"Bezahlt",ROW(RE[Status])-MIN(ROW(RE[Status]))+1),25),"")</f>
        <v/>
      </c>
    </row>
    <row r="26">
      <c r="E26">
        <f>IF(Kreditoren!$B26="","",Kreditoren!$B26)</f>
        <v/>
      </c>
      <c r="F26">
        <f>IF($E26="","",SUMPRODUCT(((Übersicht!$A$11="Alle Gesellschaften")+(RE[Gesellschaft]=Übersicht!$A$11))*((Übersicht!$A$13="Alle Kategorien")+(RE[Kategorie]=Übersicht!$A$13))*(RE[Lieferant]=$E26)*RE[Brutto]))</f>
        <v/>
      </c>
      <c r="G26">
        <f>IF($E26="","",$F26+ROW()/100000)</f>
        <v/>
      </c>
      <c r="U26">
        <f t="array" ref="U26">IFERROR(SMALL(IF(RE[Status]&lt;&gt;"Bezahlt",ROW(RE[Status])-MIN(ROW(RE[Status]))+1),26),"")</f>
        <v/>
      </c>
    </row>
    <row r="27">
      <c r="E27">
        <f>IF(Kreditoren!$B27="","",Kreditoren!$B27)</f>
        <v/>
      </c>
      <c r="F27">
        <f>IF($E27="","",SUMPRODUCT(((Übersicht!$A$11="Alle Gesellschaften")+(RE[Gesellschaft]=Übersicht!$A$11))*((Übersicht!$A$13="Alle Kategorien")+(RE[Kategorie]=Übersicht!$A$13))*(RE[Lieferant]=$E27)*RE[Brutto]))</f>
        <v/>
      </c>
      <c r="G27">
        <f>IF($E27="","",$F27+ROW()/100000)</f>
        <v/>
      </c>
      <c r="U27">
        <f t="array" ref="U27">IFERROR(SMALL(IF(RE[Status]&lt;&gt;"Bezahlt",ROW(RE[Status])-MIN(ROW(RE[Status]))+1),27),"")</f>
        <v/>
      </c>
    </row>
    <row r="28">
      <c r="E28">
        <f>IF(Kreditoren!$B28="","",Kreditoren!$B28)</f>
        <v/>
      </c>
      <c r="F28">
        <f>IF($E28="","",SUMPRODUCT(((Übersicht!$A$11="Alle Gesellschaften")+(RE[Gesellschaft]=Übersicht!$A$11))*((Übersicht!$A$13="Alle Kategorien")+(RE[Kategorie]=Übersicht!$A$13))*(RE[Lieferant]=$E28)*RE[Brutto]))</f>
        <v/>
      </c>
      <c r="G28">
        <f>IF($E28="","",$F28+ROW()/100000)</f>
        <v/>
      </c>
      <c r="U28">
        <f t="array" ref="U28">IFERROR(SMALL(IF(RE[Status]&lt;&gt;"Bezahlt",ROW(RE[Status])-MIN(ROW(RE[Status]))+1),28),"")</f>
        <v/>
      </c>
    </row>
    <row r="29">
      <c r="E29">
        <f>IF(Kreditoren!$B29="","",Kreditoren!$B29)</f>
        <v/>
      </c>
      <c r="F29">
        <f>IF($E29="","",SUMPRODUCT(((Übersicht!$A$11="Alle Gesellschaften")+(RE[Gesellschaft]=Übersicht!$A$11))*((Übersicht!$A$13="Alle Kategorien")+(RE[Kategorie]=Übersicht!$A$13))*(RE[Lieferant]=$E29)*RE[Brutto]))</f>
        <v/>
      </c>
      <c r="G29">
        <f>IF($E29="","",$F29+ROW()/100000)</f>
        <v/>
      </c>
      <c r="U29">
        <f t="array" ref="U29">IFERROR(SMALL(IF(RE[Status]&lt;&gt;"Bezahlt",ROW(RE[Status])-MIN(ROW(RE[Status]))+1),29),"")</f>
        <v/>
      </c>
    </row>
    <row r="30">
      <c r="E30">
        <f>IF(Kreditoren!$B30="","",Kreditoren!$B30)</f>
        <v/>
      </c>
      <c r="F30">
        <f>IF($E30="","",SUMPRODUCT(((Übersicht!$A$11="Alle Gesellschaften")+(RE[Gesellschaft]=Übersicht!$A$11))*((Übersicht!$A$13="Alle Kategorien")+(RE[Kategorie]=Übersicht!$A$13))*(RE[Lieferant]=$E30)*RE[Brutto]))</f>
        <v/>
      </c>
      <c r="G30">
        <f>IF($E30="","",$F30+ROW()/100000)</f>
        <v/>
      </c>
      <c r="U30">
        <f t="array" ref="U30">IFERROR(SMALL(IF(RE[Status]&lt;&gt;"Bezahlt",ROW(RE[Status])-MIN(ROW(RE[Status]))+1),30),"")</f>
        <v/>
      </c>
    </row>
    <row r="31">
      <c r="E31">
        <f>IF(Kreditoren!$B31="","",Kreditoren!$B31)</f>
        <v/>
      </c>
      <c r="F31">
        <f>IF($E31="","",SUMPRODUCT(((Übersicht!$A$11="Alle Gesellschaften")+(RE[Gesellschaft]=Übersicht!$A$11))*((Übersicht!$A$13="Alle Kategorien")+(RE[Kategorie]=Übersicht!$A$13))*(RE[Lieferant]=$E31)*RE[Brutto]))</f>
        <v/>
      </c>
      <c r="G31">
        <f>IF($E31="","",$F31+ROW()/100000)</f>
        <v/>
      </c>
    </row>
    <row r="32">
      <c r="E32">
        <f>IF(Kreditoren!$B32="","",Kreditoren!$B32)</f>
        <v/>
      </c>
      <c r="F32">
        <f>IF($E32="","",SUMPRODUCT(((Übersicht!$A$11="Alle Gesellschaften")+(RE[Gesellschaft]=Übersicht!$A$11))*((Übersicht!$A$13="Alle Kategorien")+(RE[Kategorie]=Übersicht!$A$13))*(RE[Lieferant]=$E32)*RE[Brutto]))</f>
        <v/>
      </c>
      <c r="G32">
        <f>IF($E32="","",$F32+ROW()/100000)</f>
        <v/>
      </c>
    </row>
    <row r="33">
      <c r="E33">
        <f>IF(Kreditoren!$B33="","",Kreditoren!$B33)</f>
        <v/>
      </c>
      <c r="F33">
        <f>IF($E33="","",SUMPRODUCT(((Übersicht!$A$11="Alle Gesellschaften")+(RE[Gesellschaft]=Übersicht!$A$11))*((Übersicht!$A$13="Alle Kategorien")+(RE[Kategorie]=Übersicht!$A$13))*(RE[Lieferant]=$E33)*RE[Brutto]))</f>
        <v/>
      </c>
      <c r="G33">
        <f>IF($E33="","",$F33+ROW()/100000)</f>
        <v/>
      </c>
    </row>
    <row r="34">
      <c r="E34">
        <f>IF(Kreditoren!$B34="","",Kreditoren!$B34)</f>
        <v/>
      </c>
      <c r="F34">
        <f>IF($E34="","",SUMPRODUCT(((Übersicht!$A$11="Alle Gesellschaften")+(RE[Gesellschaft]=Übersicht!$A$11))*((Übersicht!$A$13="Alle Kategorien")+(RE[Kategorie]=Übersicht!$A$13))*(RE[Lieferant]=$E34)*RE[Brutto]))</f>
        <v/>
      </c>
      <c r="G34">
        <f>IF($E34="","",$F34+ROW()/100000)</f>
        <v/>
      </c>
    </row>
    <row r="35">
      <c r="E35">
        <f>IF(Kreditoren!$B35="","",Kreditoren!$B35)</f>
        <v/>
      </c>
      <c r="F35">
        <f>IF($E35="","",SUMPRODUCT(((Übersicht!$A$11="Alle Gesellschaften")+(RE[Gesellschaft]=Übersicht!$A$11))*((Übersicht!$A$13="Alle Kategorien")+(RE[Kategorie]=Übersicht!$A$13))*(RE[Lieferant]=$E35)*RE[Brutto]))</f>
        <v/>
      </c>
      <c r="G35">
        <f>IF($E35="","",$F35+ROW()/100000)</f>
        <v/>
      </c>
    </row>
    <row r="36">
      <c r="E36">
        <f>IF(Kreditoren!$B36="","",Kreditoren!$B36)</f>
        <v/>
      </c>
      <c r="F36">
        <f>IF($E36="","",SUMPRODUCT(((Übersicht!$A$11="Alle Gesellschaften")+(RE[Gesellschaft]=Übersicht!$A$11))*((Übersicht!$A$13="Alle Kategorien")+(RE[Kategorie]=Übersicht!$A$13))*(RE[Lieferant]=$E36)*RE[Brutto]))</f>
        <v/>
      </c>
      <c r="G36">
        <f>IF($E36="","",$F36+ROW()/100000)</f>
        <v/>
      </c>
    </row>
    <row r="37">
      <c r="E37">
        <f>IF(Kreditoren!$B37="","",Kreditoren!$B37)</f>
        <v/>
      </c>
      <c r="F37">
        <f>IF($E37="","",SUMPRODUCT(((Übersicht!$A$11="Alle Gesellschaften")+(RE[Gesellschaft]=Übersicht!$A$11))*((Übersicht!$A$13="Alle Kategorien")+(RE[Kategorie]=Übersicht!$A$13))*(RE[Lieferant]=$E37)*RE[Brutto]))</f>
        <v/>
      </c>
      <c r="G37">
        <f>IF($E37="","",$F37+ROW()/100000)</f>
        <v/>
      </c>
    </row>
    <row r="38">
      <c r="E38">
        <f>IF(Kreditoren!$B38="","",Kreditoren!$B38)</f>
        <v/>
      </c>
      <c r="F38">
        <f>IF($E38="","",SUMPRODUCT(((Übersicht!$A$11="Alle Gesellschaften")+(RE[Gesellschaft]=Übersicht!$A$11))*((Übersicht!$A$13="Alle Kategorien")+(RE[Kategorie]=Übersicht!$A$13))*(RE[Lieferant]=$E38)*RE[Brutto]))</f>
        <v/>
      </c>
      <c r="G38">
        <f>IF($E38="","",$F38+ROW()/100000)</f>
        <v/>
      </c>
    </row>
    <row r="39">
      <c r="E39">
        <f>IF(Kreditoren!$B39="","",Kreditoren!$B39)</f>
        <v/>
      </c>
      <c r="F39">
        <f>IF($E39="","",SUMPRODUCT(((Übersicht!$A$11="Alle Gesellschaften")+(RE[Gesellschaft]=Übersicht!$A$11))*((Übersicht!$A$13="Alle Kategorien")+(RE[Kategorie]=Übersicht!$A$13))*(RE[Lieferant]=$E39)*RE[Brutto]))</f>
        <v/>
      </c>
      <c r="G39">
        <f>IF($E39="","",$F39+ROW()/100000)</f>
        <v/>
      </c>
    </row>
    <row r="40">
      <c r="E40">
        <f>IF(Kreditoren!$B40="","",Kreditoren!$B40)</f>
        <v/>
      </c>
      <c r="F40">
        <f>IF($E40="","",SUMPRODUCT(((Übersicht!$A$11="Alle Gesellschaften")+(RE[Gesellschaft]=Übersicht!$A$11))*((Übersicht!$A$13="Alle Kategorien")+(RE[Kategorie]=Übersicht!$A$13))*(RE[Lieferant]=$E40)*RE[Brutto]))</f>
        <v/>
      </c>
      <c r="G40">
        <f>IF($E40="","",$F40+ROW()/100000)</f>
        <v/>
      </c>
    </row>
    <row r="41">
      <c r="E41">
        <f>IF(Kreditoren!$B41="","",Kreditoren!$B41)</f>
        <v/>
      </c>
      <c r="F41">
        <f>IF($E41="","",SUMPRODUCT(((Übersicht!$A$11="Alle Gesellschaften")+(RE[Gesellschaft]=Übersicht!$A$11))*((Übersicht!$A$13="Alle Kategorien")+(RE[Kategorie]=Übersicht!$A$13))*(RE[Lieferant]=$E41)*RE[Brutto]))</f>
        <v/>
      </c>
      <c r="G41">
        <f>IF($E41="","",$F41+ROW()/100000)</f>
        <v/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H34"/>
  <sheetViews>
    <sheetView showGridLines="0"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13" customWidth="1" min="1" max="1"/>
    <col width="18" customWidth="1" min="2" max="2"/>
    <col width="17" customWidth="1" min="3" max="3"/>
    <col width="9" customWidth="1" min="4" max="4"/>
    <col width="13" customWidth="1" min="5" max="5"/>
    <col width="12" customWidth="1" min="6" max="6"/>
    <col width="13" customWidth="1" min="7" max="7"/>
    <col width="11" customWidth="1" min="8" max="8"/>
  </cols>
  <sheetData>
    <row r="1" ht="22" customHeight="1">
      <c r="A1" s="1" t="n"/>
      <c r="B1" s="1" t="n"/>
      <c r="C1" s="2" t="inlineStr">
        <is>
          <t>Offen &amp; Fällig</t>
        </is>
      </c>
      <c r="G1" s="1" t="n"/>
      <c r="H1" s="1" t="n"/>
    </row>
    <row r="2" ht="20" customHeight="1">
      <c r="A2" s="1" t="n"/>
      <c r="B2" s="1" t="n"/>
      <c r="G2" s="1" t="n"/>
      <c r="H2" s="1" t="n"/>
    </row>
    <row r="3" ht="16" customHeight="1">
      <c r="A3" s="1" t="n"/>
      <c r="B3" s="1" t="n"/>
      <c r="C3" s="3" t="inlineStr">
        <is>
          <t>Nicht bezahlte Rechnungen · zu zahlen</t>
        </is>
      </c>
      <c r="D3" s="1" t="n"/>
      <c r="E3" s="1" t="n"/>
      <c r="F3" s="1" t="n"/>
      <c r="G3" s="1" t="n"/>
      <c r="H3" s="1" t="n"/>
    </row>
    <row r="4" ht="22" customHeight="1">
      <c r="A4" s="42" t="inlineStr">
        <is>
          <t>Lfd. Nr.</t>
        </is>
      </c>
      <c r="B4" s="42" t="inlineStr">
        <is>
          <t>Lieferant</t>
        </is>
      </c>
      <c r="C4" s="42" t="inlineStr">
        <is>
          <t>Kategorie</t>
        </is>
      </c>
      <c r="D4" s="42" t="inlineStr">
        <is>
          <t>Projekt</t>
        </is>
      </c>
      <c r="E4" s="42" t="inlineStr">
        <is>
          <t>Brutto</t>
        </is>
      </c>
      <c r="F4" s="42" t="inlineStr">
        <is>
          <t>Fällig</t>
        </is>
      </c>
      <c r="G4" s="42" t="inlineStr">
        <is>
          <t>Status</t>
        </is>
      </c>
      <c r="H4" s="42" t="inlineStr">
        <is>
          <t>Tage überf.</t>
        </is>
      </c>
    </row>
    <row r="5" ht="17" customHeight="1">
      <c r="A5" s="43">
        <f>IFERROR(INDEX(RE[Lfd. Nr.],_Daten!$U$1),"")</f>
        <v/>
      </c>
      <c r="B5" s="43">
        <f>IFERROR(INDEX(RE[Lieferant],_Daten!$U$1),"")</f>
        <v/>
      </c>
      <c r="C5" s="43">
        <f>IFERROR(INDEX(RE[Kategorie],_Daten!$U$1),"")</f>
        <v/>
      </c>
      <c r="D5" s="43">
        <f>IFERROR(INDEX(RE[Projekt],_Daten!$U$1),"")</f>
        <v/>
      </c>
      <c r="E5" s="44">
        <f>IFERROR(INDEX(RE[Brutto],_Daten!$U$1),"")</f>
        <v/>
      </c>
      <c r="F5" s="45">
        <f>IFERROR(IF(INDEX(RE[Faelligkeit],_Daten!$U$1)=0,"",INDEX(RE[Faelligkeit],_Daten!$U$1)),"")</f>
        <v/>
      </c>
      <c r="G5" s="43">
        <f>IFERROR(IF(AND(INDEX(RE[Faelligkeit],_Daten!$U$1)&gt;0,INDEX(RE[Faelligkeit],_Daten!$U$1)&lt;TODAY()),"Ueberfaellig","Offen"),"")</f>
        <v/>
      </c>
      <c r="H5" s="43">
        <f>IFERROR(IF(AND(INDEX(RE[Faelligkeit],_Daten!$U$1)&gt;0,INDEX(RE[Faelligkeit],_Daten!$U$1)&lt;TODAY()),TODAY()-INDEX(RE[Faelligkeit],_Daten!$U$1),""),"")</f>
        <v/>
      </c>
    </row>
    <row r="6" ht="17" customHeight="1">
      <c r="A6" s="43">
        <f>IFERROR(INDEX(RE[Lfd. Nr.],_Daten!$U$2),"")</f>
        <v/>
      </c>
      <c r="B6" s="43">
        <f>IFERROR(INDEX(RE[Lieferant],_Daten!$U$2),"")</f>
        <v/>
      </c>
      <c r="C6" s="43">
        <f>IFERROR(INDEX(RE[Kategorie],_Daten!$U$2),"")</f>
        <v/>
      </c>
      <c r="D6" s="43">
        <f>IFERROR(INDEX(RE[Projekt],_Daten!$U$2),"")</f>
        <v/>
      </c>
      <c r="E6" s="44">
        <f>IFERROR(INDEX(RE[Brutto],_Daten!$U$2),"")</f>
        <v/>
      </c>
      <c r="F6" s="45">
        <f>IFERROR(IF(INDEX(RE[Faelligkeit],_Daten!$U$2)=0,"",INDEX(RE[Faelligkeit],_Daten!$U$2)),"")</f>
        <v/>
      </c>
      <c r="G6" s="43">
        <f>IFERROR(IF(AND(INDEX(RE[Faelligkeit],_Daten!$U$2)&gt;0,INDEX(RE[Faelligkeit],_Daten!$U$2)&lt;TODAY()),"Ueberfaellig","Offen"),"")</f>
        <v/>
      </c>
      <c r="H6" s="43">
        <f>IFERROR(IF(AND(INDEX(RE[Faelligkeit],_Daten!$U$2)&gt;0,INDEX(RE[Faelligkeit],_Daten!$U$2)&lt;TODAY()),TODAY()-INDEX(RE[Faelligkeit],_Daten!$U$2),""),"")</f>
        <v/>
      </c>
    </row>
    <row r="7" ht="17" customHeight="1">
      <c r="A7" s="43">
        <f>IFERROR(INDEX(RE[Lfd. Nr.],_Daten!$U$3),"")</f>
        <v/>
      </c>
      <c r="B7" s="43">
        <f>IFERROR(INDEX(RE[Lieferant],_Daten!$U$3),"")</f>
        <v/>
      </c>
      <c r="C7" s="43">
        <f>IFERROR(INDEX(RE[Kategorie],_Daten!$U$3),"")</f>
        <v/>
      </c>
      <c r="D7" s="43">
        <f>IFERROR(INDEX(RE[Projekt],_Daten!$U$3),"")</f>
        <v/>
      </c>
      <c r="E7" s="44">
        <f>IFERROR(INDEX(RE[Brutto],_Daten!$U$3),"")</f>
        <v/>
      </c>
      <c r="F7" s="45">
        <f>IFERROR(IF(INDEX(RE[Faelligkeit],_Daten!$U$3)=0,"",INDEX(RE[Faelligkeit],_Daten!$U$3)),"")</f>
        <v/>
      </c>
      <c r="G7" s="43">
        <f>IFERROR(IF(AND(INDEX(RE[Faelligkeit],_Daten!$U$3)&gt;0,INDEX(RE[Faelligkeit],_Daten!$U$3)&lt;TODAY()),"Ueberfaellig","Offen"),"")</f>
        <v/>
      </c>
      <c r="H7" s="43">
        <f>IFERROR(IF(AND(INDEX(RE[Faelligkeit],_Daten!$U$3)&gt;0,INDEX(RE[Faelligkeit],_Daten!$U$3)&lt;TODAY()),TODAY()-INDEX(RE[Faelligkeit],_Daten!$U$3),""),"")</f>
        <v/>
      </c>
    </row>
    <row r="8" ht="17" customHeight="1">
      <c r="A8" s="43">
        <f>IFERROR(INDEX(RE[Lfd. Nr.],_Daten!$U$4),"")</f>
        <v/>
      </c>
      <c r="B8" s="43">
        <f>IFERROR(INDEX(RE[Lieferant],_Daten!$U$4),"")</f>
        <v/>
      </c>
      <c r="C8" s="43">
        <f>IFERROR(INDEX(RE[Kategorie],_Daten!$U$4),"")</f>
        <v/>
      </c>
      <c r="D8" s="43">
        <f>IFERROR(INDEX(RE[Projekt],_Daten!$U$4),"")</f>
        <v/>
      </c>
      <c r="E8" s="44">
        <f>IFERROR(INDEX(RE[Brutto],_Daten!$U$4),"")</f>
        <v/>
      </c>
      <c r="F8" s="45">
        <f>IFERROR(IF(INDEX(RE[Faelligkeit],_Daten!$U$4)=0,"",INDEX(RE[Faelligkeit],_Daten!$U$4)),"")</f>
        <v/>
      </c>
      <c r="G8" s="43">
        <f>IFERROR(IF(AND(INDEX(RE[Faelligkeit],_Daten!$U$4)&gt;0,INDEX(RE[Faelligkeit],_Daten!$U$4)&lt;TODAY()),"Ueberfaellig","Offen"),"")</f>
        <v/>
      </c>
      <c r="H8" s="43">
        <f>IFERROR(IF(AND(INDEX(RE[Faelligkeit],_Daten!$U$4)&gt;0,INDEX(RE[Faelligkeit],_Daten!$U$4)&lt;TODAY()),TODAY()-INDEX(RE[Faelligkeit],_Daten!$U$4),""),"")</f>
        <v/>
      </c>
    </row>
    <row r="9" ht="17" customHeight="1">
      <c r="A9" s="43">
        <f>IFERROR(INDEX(RE[Lfd. Nr.],_Daten!$U$5),"")</f>
        <v/>
      </c>
      <c r="B9" s="43">
        <f>IFERROR(INDEX(RE[Lieferant],_Daten!$U$5),"")</f>
        <v/>
      </c>
      <c r="C9" s="43">
        <f>IFERROR(INDEX(RE[Kategorie],_Daten!$U$5),"")</f>
        <v/>
      </c>
      <c r="D9" s="43">
        <f>IFERROR(INDEX(RE[Projekt],_Daten!$U$5),"")</f>
        <v/>
      </c>
      <c r="E9" s="44">
        <f>IFERROR(INDEX(RE[Brutto],_Daten!$U$5),"")</f>
        <v/>
      </c>
      <c r="F9" s="45">
        <f>IFERROR(IF(INDEX(RE[Faelligkeit],_Daten!$U$5)=0,"",INDEX(RE[Faelligkeit],_Daten!$U$5)),"")</f>
        <v/>
      </c>
      <c r="G9" s="43">
        <f>IFERROR(IF(AND(INDEX(RE[Faelligkeit],_Daten!$U$5)&gt;0,INDEX(RE[Faelligkeit],_Daten!$U$5)&lt;TODAY()),"Ueberfaellig","Offen"),"")</f>
        <v/>
      </c>
      <c r="H9" s="43">
        <f>IFERROR(IF(AND(INDEX(RE[Faelligkeit],_Daten!$U$5)&gt;0,INDEX(RE[Faelligkeit],_Daten!$U$5)&lt;TODAY()),TODAY()-INDEX(RE[Faelligkeit],_Daten!$U$5),""),"")</f>
        <v/>
      </c>
    </row>
    <row r="10" ht="17" customHeight="1">
      <c r="A10" s="43">
        <f>IFERROR(INDEX(RE[Lfd. Nr.],_Daten!$U$6),"")</f>
        <v/>
      </c>
      <c r="B10" s="43">
        <f>IFERROR(INDEX(RE[Lieferant],_Daten!$U$6),"")</f>
        <v/>
      </c>
      <c r="C10" s="43">
        <f>IFERROR(INDEX(RE[Kategorie],_Daten!$U$6),"")</f>
        <v/>
      </c>
      <c r="D10" s="43">
        <f>IFERROR(INDEX(RE[Projekt],_Daten!$U$6),"")</f>
        <v/>
      </c>
      <c r="E10" s="44">
        <f>IFERROR(INDEX(RE[Brutto],_Daten!$U$6),"")</f>
        <v/>
      </c>
      <c r="F10" s="45">
        <f>IFERROR(IF(INDEX(RE[Faelligkeit],_Daten!$U$6)=0,"",INDEX(RE[Faelligkeit],_Daten!$U$6)),"")</f>
        <v/>
      </c>
      <c r="G10" s="43">
        <f>IFERROR(IF(AND(INDEX(RE[Faelligkeit],_Daten!$U$6)&gt;0,INDEX(RE[Faelligkeit],_Daten!$U$6)&lt;TODAY()),"Ueberfaellig","Offen"),"")</f>
        <v/>
      </c>
      <c r="H10" s="43">
        <f>IFERROR(IF(AND(INDEX(RE[Faelligkeit],_Daten!$U$6)&gt;0,INDEX(RE[Faelligkeit],_Daten!$U$6)&lt;TODAY()),TODAY()-INDEX(RE[Faelligkeit],_Daten!$U$6),""),"")</f>
        <v/>
      </c>
    </row>
    <row r="11" ht="17" customHeight="1">
      <c r="A11" s="43">
        <f>IFERROR(INDEX(RE[Lfd. Nr.],_Daten!$U$7),"")</f>
        <v/>
      </c>
      <c r="B11" s="43">
        <f>IFERROR(INDEX(RE[Lieferant],_Daten!$U$7),"")</f>
        <v/>
      </c>
      <c r="C11" s="43">
        <f>IFERROR(INDEX(RE[Kategorie],_Daten!$U$7),"")</f>
        <v/>
      </c>
      <c r="D11" s="43">
        <f>IFERROR(INDEX(RE[Projekt],_Daten!$U$7),"")</f>
        <v/>
      </c>
      <c r="E11" s="44">
        <f>IFERROR(INDEX(RE[Brutto],_Daten!$U$7),"")</f>
        <v/>
      </c>
      <c r="F11" s="45">
        <f>IFERROR(IF(INDEX(RE[Faelligkeit],_Daten!$U$7)=0,"",INDEX(RE[Faelligkeit],_Daten!$U$7)),"")</f>
        <v/>
      </c>
      <c r="G11" s="43">
        <f>IFERROR(IF(AND(INDEX(RE[Faelligkeit],_Daten!$U$7)&gt;0,INDEX(RE[Faelligkeit],_Daten!$U$7)&lt;TODAY()),"Ueberfaellig","Offen"),"")</f>
        <v/>
      </c>
      <c r="H11" s="43">
        <f>IFERROR(IF(AND(INDEX(RE[Faelligkeit],_Daten!$U$7)&gt;0,INDEX(RE[Faelligkeit],_Daten!$U$7)&lt;TODAY()),TODAY()-INDEX(RE[Faelligkeit],_Daten!$U$7),""),"")</f>
        <v/>
      </c>
    </row>
    <row r="12" ht="17" customHeight="1">
      <c r="A12" s="43">
        <f>IFERROR(INDEX(RE[Lfd. Nr.],_Daten!$U$8),"")</f>
        <v/>
      </c>
      <c r="B12" s="43">
        <f>IFERROR(INDEX(RE[Lieferant],_Daten!$U$8),"")</f>
        <v/>
      </c>
      <c r="C12" s="43">
        <f>IFERROR(INDEX(RE[Kategorie],_Daten!$U$8),"")</f>
        <v/>
      </c>
      <c r="D12" s="43">
        <f>IFERROR(INDEX(RE[Projekt],_Daten!$U$8),"")</f>
        <v/>
      </c>
      <c r="E12" s="44">
        <f>IFERROR(INDEX(RE[Brutto],_Daten!$U$8),"")</f>
        <v/>
      </c>
      <c r="F12" s="45">
        <f>IFERROR(IF(INDEX(RE[Faelligkeit],_Daten!$U$8)=0,"",INDEX(RE[Faelligkeit],_Daten!$U$8)),"")</f>
        <v/>
      </c>
      <c r="G12" s="43">
        <f>IFERROR(IF(AND(INDEX(RE[Faelligkeit],_Daten!$U$8)&gt;0,INDEX(RE[Faelligkeit],_Daten!$U$8)&lt;TODAY()),"Ueberfaellig","Offen"),"")</f>
        <v/>
      </c>
      <c r="H12" s="43">
        <f>IFERROR(IF(AND(INDEX(RE[Faelligkeit],_Daten!$U$8)&gt;0,INDEX(RE[Faelligkeit],_Daten!$U$8)&lt;TODAY()),TODAY()-INDEX(RE[Faelligkeit],_Daten!$U$8),""),"")</f>
        <v/>
      </c>
    </row>
    <row r="13" ht="17" customHeight="1">
      <c r="A13" s="43">
        <f>IFERROR(INDEX(RE[Lfd. Nr.],_Daten!$U$9),"")</f>
        <v/>
      </c>
      <c r="B13" s="43">
        <f>IFERROR(INDEX(RE[Lieferant],_Daten!$U$9),"")</f>
        <v/>
      </c>
      <c r="C13" s="43">
        <f>IFERROR(INDEX(RE[Kategorie],_Daten!$U$9),"")</f>
        <v/>
      </c>
      <c r="D13" s="43">
        <f>IFERROR(INDEX(RE[Projekt],_Daten!$U$9),"")</f>
        <v/>
      </c>
      <c r="E13" s="44">
        <f>IFERROR(INDEX(RE[Brutto],_Daten!$U$9),"")</f>
        <v/>
      </c>
      <c r="F13" s="45">
        <f>IFERROR(IF(INDEX(RE[Faelligkeit],_Daten!$U$9)=0,"",INDEX(RE[Faelligkeit],_Daten!$U$9)),"")</f>
        <v/>
      </c>
      <c r="G13" s="43">
        <f>IFERROR(IF(AND(INDEX(RE[Faelligkeit],_Daten!$U$9)&gt;0,INDEX(RE[Faelligkeit],_Daten!$U$9)&lt;TODAY()),"Ueberfaellig","Offen"),"")</f>
        <v/>
      </c>
      <c r="H13" s="43">
        <f>IFERROR(IF(AND(INDEX(RE[Faelligkeit],_Daten!$U$9)&gt;0,INDEX(RE[Faelligkeit],_Daten!$U$9)&lt;TODAY()),TODAY()-INDEX(RE[Faelligkeit],_Daten!$U$9),""),"")</f>
        <v/>
      </c>
    </row>
    <row r="14" ht="17" customHeight="1">
      <c r="A14" s="43">
        <f>IFERROR(INDEX(RE[Lfd. Nr.],_Daten!$U$10),"")</f>
        <v/>
      </c>
      <c r="B14" s="43">
        <f>IFERROR(INDEX(RE[Lieferant],_Daten!$U$10),"")</f>
        <v/>
      </c>
      <c r="C14" s="43">
        <f>IFERROR(INDEX(RE[Kategorie],_Daten!$U$10),"")</f>
        <v/>
      </c>
      <c r="D14" s="43">
        <f>IFERROR(INDEX(RE[Projekt],_Daten!$U$10),"")</f>
        <v/>
      </c>
      <c r="E14" s="44">
        <f>IFERROR(INDEX(RE[Brutto],_Daten!$U$10),"")</f>
        <v/>
      </c>
      <c r="F14" s="45">
        <f>IFERROR(IF(INDEX(RE[Faelligkeit],_Daten!$U$10)=0,"",INDEX(RE[Faelligkeit],_Daten!$U$10)),"")</f>
        <v/>
      </c>
      <c r="G14" s="43">
        <f>IFERROR(IF(AND(INDEX(RE[Faelligkeit],_Daten!$U$10)&gt;0,INDEX(RE[Faelligkeit],_Daten!$U$10)&lt;TODAY()),"Ueberfaellig","Offen"),"")</f>
        <v/>
      </c>
      <c r="H14" s="43">
        <f>IFERROR(IF(AND(INDEX(RE[Faelligkeit],_Daten!$U$10)&gt;0,INDEX(RE[Faelligkeit],_Daten!$U$10)&lt;TODAY()),TODAY()-INDEX(RE[Faelligkeit],_Daten!$U$10),""),"")</f>
        <v/>
      </c>
    </row>
    <row r="15" ht="17" customHeight="1">
      <c r="A15" s="43">
        <f>IFERROR(INDEX(RE[Lfd. Nr.],_Daten!$U$11),"")</f>
        <v/>
      </c>
      <c r="B15" s="43">
        <f>IFERROR(INDEX(RE[Lieferant],_Daten!$U$11),"")</f>
        <v/>
      </c>
      <c r="C15" s="43">
        <f>IFERROR(INDEX(RE[Kategorie],_Daten!$U$11),"")</f>
        <v/>
      </c>
      <c r="D15" s="43">
        <f>IFERROR(INDEX(RE[Projekt],_Daten!$U$11),"")</f>
        <v/>
      </c>
      <c r="E15" s="44">
        <f>IFERROR(INDEX(RE[Brutto],_Daten!$U$11),"")</f>
        <v/>
      </c>
      <c r="F15" s="45">
        <f>IFERROR(IF(INDEX(RE[Faelligkeit],_Daten!$U$11)=0,"",INDEX(RE[Faelligkeit],_Daten!$U$11)),"")</f>
        <v/>
      </c>
      <c r="G15" s="43">
        <f>IFERROR(IF(AND(INDEX(RE[Faelligkeit],_Daten!$U$11)&gt;0,INDEX(RE[Faelligkeit],_Daten!$U$11)&lt;TODAY()),"Ueberfaellig","Offen"),"")</f>
        <v/>
      </c>
      <c r="H15" s="43">
        <f>IFERROR(IF(AND(INDEX(RE[Faelligkeit],_Daten!$U$11)&gt;0,INDEX(RE[Faelligkeit],_Daten!$U$11)&lt;TODAY()),TODAY()-INDEX(RE[Faelligkeit],_Daten!$U$11),""),"")</f>
        <v/>
      </c>
    </row>
    <row r="16" ht="17" customHeight="1">
      <c r="A16" s="43">
        <f>IFERROR(INDEX(RE[Lfd. Nr.],_Daten!$U$12),"")</f>
        <v/>
      </c>
      <c r="B16" s="43">
        <f>IFERROR(INDEX(RE[Lieferant],_Daten!$U$12),"")</f>
        <v/>
      </c>
      <c r="C16" s="43">
        <f>IFERROR(INDEX(RE[Kategorie],_Daten!$U$12),"")</f>
        <v/>
      </c>
      <c r="D16" s="43">
        <f>IFERROR(INDEX(RE[Projekt],_Daten!$U$12),"")</f>
        <v/>
      </c>
      <c r="E16" s="44">
        <f>IFERROR(INDEX(RE[Brutto],_Daten!$U$12),"")</f>
        <v/>
      </c>
      <c r="F16" s="45">
        <f>IFERROR(IF(INDEX(RE[Faelligkeit],_Daten!$U$12)=0,"",INDEX(RE[Faelligkeit],_Daten!$U$12)),"")</f>
        <v/>
      </c>
      <c r="G16" s="43">
        <f>IFERROR(IF(AND(INDEX(RE[Faelligkeit],_Daten!$U$12)&gt;0,INDEX(RE[Faelligkeit],_Daten!$U$12)&lt;TODAY()),"Ueberfaellig","Offen"),"")</f>
        <v/>
      </c>
      <c r="H16" s="43">
        <f>IFERROR(IF(AND(INDEX(RE[Faelligkeit],_Daten!$U$12)&gt;0,INDEX(RE[Faelligkeit],_Daten!$U$12)&lt;TODAY()),TODAY()-INDEX(RE[Faelligkeit],_Daten!$U$12),""),"")</f>
        <v/>
      </c>
    </row>
    <row r="17" ht="17" customHeight="1">
      <c r="A17" s="43">
        <f>IFERROR(INDEX(RE[Lfd. Nr.],_Daten!$U$13),"")</f>
        <v/>
      </c>
      <c r="B17" s="43">
        <f>IFERROR(INDEX(RE[Lieferant],_Daten!$U$13),"")</f>
        <v/>
      </c>
      <c r="C17" s="43">
        <f>IFERROR(INDEX(RE[Kategorie],_Daten!$U$13),"")</f>
        <v/>
      </c>
      <c r="D17" s="43">
        <f>IFERROR(INDEX(RE[Projekt],_Daten!$U$13),"")</f>
        <v/>
      </c>
      <c r="E17" s="44">
        <f>IFERROR(INDEX(RE[Brutto],_Daten!$U$13),"")</f>
        <v/>
      </c>
      <c r="F17" s="45">
        <f>IFERROR(IF(INDEX(RE[Faelligkeit],_Daten!$U$13)=0,"",INDEX(RE[Faelligkeit],_Daten!$U$13)),"")</f>
        <v/>
      </c>
      <c r="G17" s="43">
        <f>IFERROR(IF(AND(INDEX(RE[Faelligkeit],_Daten!$U$13)&gt;0,INDEX(RE[Faelligkeit],_Daten!$U$13)&lt;TODAY()),"Ueberfaellig","Offen"),"")</f>
        <v/>
      </c>
      <c r="H17" s="43">
        <f>IFERROR(IF(AND(INDEX(RE[Faelligkeit],_Daten!$U$13)&gt;0,INDEX(RE[Faelligkeit],_Daten!$U$13)&lt;TODAY()),TODAY()-INDEX(RE[Faelligkeit],_Daten!$U$13),""),"")</f>
        <v/>
      </c>
    </row>
    <row r="18" ht="17" customHeight="1">
      <c r="A18" s="43">
        <f>IFERROR(INDEX(RE[Lfd. Nr.],_Daten!$U$14),"")</f>
        <v/>
      </c>
      <c r="B18" s="43">
        <f>IFERROR(INDEX(RE[Lieferant],_Daten!$U$14),"")</f>
        <v/>
      </c>
      <c r="C18" s="43">
        <f>IFERROR(INDEX(RE[Kategorie],_Daten!$U$14),"")</f>
        <v/>
      </c>
      <c r="D18" s="43">
        <f>IFERROR(INDEX(RE[Projekt],_Daten!$U$14),"")</f>
        <v/>
      </c>
      <c r="E18" s="44">
        <f>IFERROR(INDEX(RE[Brutto],_Daten!$U$14),"")</f>
        <v/>
      </c>
      <c r="F18" s="45">
        <f>IFERROR(IF(INDEX(RE[Faelligkeit],_Daten!$U$14)=0,"",INDEX(RE[Faelligkeit],_Daten!$U$14)),"")</f>
        <v/>
      </c>
      <c r="G18" s="43">
        <f>IFERROR(IF(AND(INDEX(RE[Faelligkeit],_Daten!$U$14)&gt;0,INDEX(RE[Faelligkeit],_Daten!$U$14)&lt;TODAY()),"Ueberfaellig","Offen"),"")</f>
        <v/>
      </c>
      <c r="H18" s="43">
        <f>IFERROR(IF(AND(INDEX(RE[Faelligkeit],_Daten!$U$14)&gt;0,INDEX(RE[Faelligkeit],_Daten!$U$14)&lt;TODAY()),TODAY()-INDEX(RE[Faelligkeit],_Daten!$U$14),""),"")</f>
        <v/>
      </c>
    </row>
    <row r="19" ht="17" customHeight="1">
      <c r="A19" s="43">
        <f>IFERROR(INDEX(RE[Lfd. Nr.],_Daten!$U$15),"")</f>
        <v/>
      </c>
      <c r="B19" s="43">
        <f>IFERROR(INDEX(RE[Lieferant],_Daten!$U$15),"")</f>
        <v/>
      </c>
      <c r="C19" s="43">
        <f>IFERROR(INDEX(RE[Kategorie],_Daten!$U$15),"")</f>
        <v/>
      </c>
      <c r="D19" s="43">
        <f>IFERROR(INDEX(RE[Projekt],_Daten!$U$15),"")</f>
        <v/>
      </c>
      <c r="E19" s="44">
        <f>IFERROR(INDEX(RE[Brutto],_Daten!$U$15),"")</f>
        <v/>
      </c>
      <c r="F19" s="45">
        <f>IFERROR(IF(INDEX(RE[Faelligkeit],_Daten!$U$15)=0,"",INDEX(RE[Faelligkeit],_Daten!$U$15)),"")</f>
        <v/>
      </c>
      <c r="G19" s="43">
        <f>IFERROR(IF(AND(INDEX(RE[Faelligkeit],_Daten!$U$15)&gt;0,INDEX(RE[Faelligkeit],_Daten!$U$15)&lt;TODAY()),"Ueberfaellig","Offen"),"")</f>
        <v/>
      </c>
      <c r="H19" s="43">
        <f>IFERROR(IF(AND(INDEX(RE[Faelligkeit],_Daten!$U$15)&gt;0,INDEX(RE[Faelligkeit],_Daten!$U$15)&lt;TODAY()),TODAY()-INDEX(RE[Faelligkeit],_Daten!$U$15),""),"")</f>
        <v/>
      </c>
    </row>
    <row r="20" ht="17" customHeight="1">
      <c r="A20" s="43">
        <f>IFERROR(INDEX(RE[Lfd. Nr.],_Daten!$U$16),"")</f>
        <v/>
      </c>
      <c r="B20" s="43">
        <f>IFERROR(INDEX(RE[Lieferant],_Daten!$U$16),"")</f>
        <v/>
      </c>
      <c r="C20" s="43">
        <f>IFERROR(INDEX(RE[Kategorie],_Daten!$U$16),"")</f>
        <v/>
      </c>
      <c r="D20" s="43">
        <f>IFERROR(INDEX(RE[Projekt],_Daten!$U$16),"")</f>
        <v/>
      </c>
      <c r="E20" s="44">
        <f>IFERROR(INDEX(RE[Brutto],_Daten!$U$16),"")</f>
        <v/>
      </c>
      <c r="F20" s="45">
        <f>IFERROR(IF(INDEX(RE[Faelligkeit],_Daten!$U$16)=0,"",INDEX(RE[Faelligkeit],_Daten!$U$16)),"")</f>
        <v/>
      </c>
      <c r="G20" s="43">
        <f>IFERROR(IF(AND(INDEX(RE[Faelligkeit],_Daten!$U$16)&gt;0,INDEX(RE[Faelligkeit],_Daten!$U$16)&lt;TODAY()),"Ueberfaellig","Offen"),"")</f>
        <v/>
      </c>
      <c r="H20" s="43">
        <f>IFERROR(IF(AND(INDEX(RE[Faelligkeit],_Daten!$U$16)&gt;0,INDEX(RE[Faelligkeit],_Daten!$U$16)&lt;TODAY()),TODAY()-INDEX(RE[Faelligkeit],_Daten!$U$16),""),"")</f>
        <v/>
      </c>
    </row>
    <row r="21" ht="17" customHeight="1">
      <c r="A21" s="43">
        <f>IFERROR(INDEX(RE[Lfd. Nr.],_Daten!$U$17),"")</f>
        <v/>
      </c>
      <c r="B21" s="43">
        <f>IFERROR(INDEX(RE[Lieferant],_Daten!$U$17),"")</f>
        <v/>
      </c>
      <c r="C21" s="43">
        <f>IFERROR(INDEX(RE[Kategorie],_Daten!$U$17),"")</f>
        <v/>
      </c>
      <c r="D21" s="43">
        <f>IFERROR(INDEX(RE[Projekt],_Daten!$U$17),"")</f>
        <v/>
      </c>
      <c r="E21" s="44">
        <f>IFERROR(INDEX(RE[Brutto],_Daten!$U$17),"")</f>
        <v/>
      </c>
      <c r="F21" s="45">
        <f>IFERROR(IF(INDEX(RE[Faelligkeit],_Daten!$U$17)=0,"",INDEX(RE[Faelligkeit],_Daten!$U$17)),"")</f>
        <v/>
      </c>
      <c r="G21" s="43">
        <f>IFERROR(IF(AND(INDEX(RE[Faelligkeit],_Daten!$U$17)&gt;0,INDEX(RE[Faelligkeit],_Daten!$U$17)&lt;TODAY()),"Ueberfaellig","Offen"),"")</f>
        <v/>
      </c>
      <c r="H21" s="43">
        <f>IFERROR(IF(AND(INDEX(RE[Faelligkeit],_Daten!$U$17)&gt;0,INDEX(RE[Faelligkeit],_Daten!$U$17)&lt;TODAY()),TODAY()-INDEX(RE[Faelligkeit],_Daten!$U$17),""),"")</f>
        <v/>
      </c>
    </row>
    <row r="22" ht="17" customHeight="1">
      <c r="A22" s="43">
        <f>IFERROR(INDEX(RE[Lfd. Nr.],_Daten!$U$18),"")</f>
        <v/>
      </c>
      <c r="B22" s="43">
        <f>IFERROR(INDEX(RE[Lieferant],_Daten!$U$18),"")</f>
        <v/>
      </c>
      <c r="C22" s="43">
        <f>IFERROR(INDEX(RE[Kategorie],_Daten!$U$18),"")</f>
        <v/>
      </c>
      <c r="D22" s="43">
        <f>IFERROR(INDEX(RE[Projekt],_Daten!$U$18),"")</f>
        <v/>
      </c>
      <c r="E22" s="44">
        <f>IFERROR(INDEX(RE[Brutto],_Daten!$U$18),"")</f>
        <v/>
      </c>
      <c r="F22" s="45">
        <f>IFERROR(IF(INDEX(RE[Faelligkeit],_Daten!$U$18)=0,"",INDEX(RE[Faelligkeit],_Daten!$U$18)),"")</f>
        <v/>
      </c>
      <c r="G22" s="43">
        <f>IFERROR(IF(AND(INDEX(RE[Faelligkeit],_Daten!$U$18)&gt;0,INDEX(RE[Faelligkeit],_Daten!$U$18)&lt;TODAY()),"Ueberfaellig","Offen"),"")</f>
        <v/>
      </c>
      <c r="H22" s="43">
        <f>IFERROR(IF(AND(INDEX(RE[Faelligkeit],_Daten!$U$18)&gt;0,INDEX(RE[Faelligkeit],_Daten!$U$18)&lt;TODAY()),TODAY()-INDEX(RE[Faelligkeit],_Daten!$U$18),""),"")</f>
        <v/>
      </c>
    </row>
    <row r="23" ht="17" customHeight="1">
      <c r="A23" s="43">
        <f>IFERROR(INDEX(RE[Lfd. Nr.],_Daten!$U$19),"")</f>
        <v/>
      </c>
      <c r="B23" s="43">
        <f>IFERROR(INDEX(RE[Lieferant],_Daten!$U$19),"")</f>
        <v/>
      </c>
      <c r="C23" s="43">
        <f>IFERROR(INDEX(RE[Kategorie],_Daten!$U$19),"")</f>
        <v/>
      </c>
      <c r="D23" s="43">
        <f>IFERROR(INDEX(RE[Projekt],_Daten!$U$19),"")</f>
        <v/>
      </c>
      <c r="E23" s="44">
        <f>IFERROR(INDEX(RE[Brutto],_Daten!$U$19),"")</f>
        <v/>
      </c>
      <c r="F23" s="45">
        <f>IFERROR(IF(INDEX(RE[Faelligkeit],_Daten!$U$19)=0,"",INDEX(RE[Faelligkeit],_Daten!$U$19)),"")</f>
        <v/>
      </c>
      <c r="G23" s="43">
        <f>IFERROR(IF(AND(INDEX(RE[Faelligkeit],_Daten!$U$19)&gt;0,INDEX(RE[Faelligkeit],_Daten!$U$19)&lt;TODAY()),"Ueberfaellig","Offen"),"")</f>
        <v/>
      </c>
      <c r="H23" s="43">
        <f>IFERROR(IF(AND(INDEX(RE[Faelligkeit],_Daten!$U$19)&gt;0,INDEX(RE[Faelligkeit],_Daten!$U$19)&lt;TODAY()),TODAY()-INDEX(RE[Faelligkeit],_Daten!$U$19),""),"")</f>
        <v/>
      </c>
    </row>
    <row r="24" ht="17" customHeight="1">
      <c r="A24" s="43">
        <f>IFERROR(INDEX(RE[Lfd. Nr.],_Daten!$U$20),"")</f>
        <v/>
      </c>
      <c r="B24" s="43">
        <f>IFERROR(INDEX(RE[Lieferant],_Daten!$U$20),"")</f>
        <v/>
      </c>
      <c r="C24" s="43">
        <f>IFERROR(INDEX(RE[Kategorie],_Daten!$U$20),"")</f>
        <v/>
      </c>
      <c r="D24" s="43">
        <f>IFERROR(INDEX(RE[Projekt],_Daten!$U$20),"")</f>
        <v/>
      </c>
      <c r="E24" s="44">
        <f>IFERROR(INDEX(RE[Brutto],_Daten!$U$20),"")</f>
        <v/>
      </c>
      <c r="F24" s="45">
        <f>IFERROR(IF(INDEX(RE[Faelligkeit],_Daten!$U$20)=0,"",INDEX(RE[Faelligkeit],_Daten!$U$20)),"")</f>
        <v/>
      </c>
      <c r="G24" s="43">
        <f>IFERROR(IF(AND(INDEX(RE[Faelligkeit],_Daten!$U$20)&gt;0,INDEX(RE[Faelligkeit],_Daten!$U$20)&lt;TODAY()),"Ueberfaellig","Offen"),"")</f>
        <v/>
      </c>
      <c r="H24" s="43">
        <f>IFERROR(IF(AND(INDEX(RE[Faelligkeit],_Daten!$U$20)&gt;0,INDEX(RE[Faelligkeit],_Daten!$U$20)&lt;TODAY()),TODAY()-INDEX(RE[Faelligkeit],_Daten!$U$20),""),"")</f>
        <v/>
      </c>
    </row>
    <row r="25" ht="17" customHeight="1">
      <c r="A25" s="43">
        <f>IFERROR(INDEX(RE[Lfd. Nr.],_Daten!$U$21),"")</f>
        <v/>
      </c>
      <c r="B25" s="43">
        <f>IFERROR(INDEX(RE[Lieferant],_Daten!$U$21),"")</f>
        <v/>
      </c>
      <c r="C25" s="43">
        <f>IFERROR(INDEX(RE[Kategorie],_Daten!$U$21),"")</f>
        <v/>
      </c>
      <c r="D25" s="43">
        <f>IFERROR(INDEX(RE[Projekt],_Daten!$U$21),"")</f>
        <v/>
      </c>
      <c r="E25" s="44">
        <f>IFERROR(INDEX(RE[Brutto],_Daten!$U$21),"")</f>
        <v/>
      </c>
      <c r="F25" s="45">
        <f>IFERROR(IF(INDEX(RE[Faelligkeit],_Daten!$U$21)=0,"",INDEX(RE[Faelligkeit],_Daten!$U$21)),"")</f>
        <v/>
      </c>
      <c r="G25" s="43">
        <f>IFERROR(IF(AND(INDEX(RE[Faelligkeit],_Daten!$U$21)&gt;0,INDEX(RE[Faelligkeit],_Daten!$U$21)&lt;TODAY()),"Ueberfaellig","Offen"),"")</f>
        <v/>
      </c>
      <c r="H25" s="43">
        <f>IFERROR(IF(AND(INDEX(RE[Faelligkeit],_Daten!$U$21)&gt;0,INDEX(RE[Faelligkeit],_Daten!$U$21)&lt;TODAY()),TODAY()-INDEX(RE[Faelligkeit],_Daten!$U$21),""),"")</f>
        <v/>
      </c>
    </row>
    <row r="26" ht="17" customHeight="1">
      <c r="A26" s="43">
        <f>IFERROR(INDEX(RE[Lfd. Nr.],_Daten!$U$22),"")</f>
        <v/>
      </c>
      <c r="B26" s="43">
        <f>IFERROR(INDEX(RE[Lieferant],_Daten!$U$22),"")</f>
        <v/>
      </c>
      <c r="C26" s="43">
        <f>IFERROR(INDEX(RE[Kategorie],_Daten!$U$22),"")</f>
        <v/>
      </c>
      <c r="D26" s="43">
        <f>IFERROR(INDEX(RE[Projekt],_Daten!$U$22),"")</f>
        <v/>
      </c>
      <c r="E26" s="44">
        <f>IFERROR(INDEX(RE[Brutto],_Daten!$U$22),"")</f>
        <v/>
      </c>
      <c r="F26" s="45">
        <f>IFERROR(IF(INDEX(RE[Faelligkeit],_Daten!$U$22)=0,"",INDEX(RE[Faelligkeit],_Daten!$U$22)),"")</f>
        <v/>
      </c>
      <c r="G26" s="43">
        <f>IFERROR(IF(AND(INDEX(RE[Faelligkeit],_Daten!$U$22)&gt;0,INDEX(RE[Faelligkeit],_Daten!$U$22)&lt;TODAY()),"Ueberfaellig","Offen"),"")</f>
        <v/>
      </c>
      <c r="H26" s="43">
        <f>IFERROR(IF(AND(INDEX(RE[Faelligkeit],_Daten!$U$22)&gt;0,INDEX(RE[Faelligkeit],_Daten!$U$22)&lt;TODAY()),TODAY()-INDEX(RE[Faelligkeit],_Daten!$U$22),""),"")</f>
        <v/>
      </c>
    </row>
    <row r="27" ht="17" customHeight="1">
      <c r="A27" s="43">
        <f>IFERROR(INDEX(RE[Lfd. Nr.],_Daten!$U$23),"")</f>
        <v/>
      </c>
      <c r="B27" s="43">
        <f>IFERROR(INDEX(RE[Lieferant],_Daten!$U$23),"")</f>
        <v/>
      </c>
      <c r="C27" s="43">
        <f>IFERROR(INDEX(RE[Kategorie],_Daten!$U$23),"")</f>
        <v/>
      </c>
      <c r="D27" s="43">
        <f>IFERROR(INDEX(RE[Projekt],_Daten!$U$23),"")</f>
        <v/>
      </c>
      <c r="E27" s="44">
        <f>IFERROR(INDEX(RE[Brutto],_Daten!$U$23),"")</f>
        <v/>
      </c>
      <c r="F27" s="45">
        <f>IFERROR(IF(INDEX(RE[Faelligkeit],_Daten!$U$23)=0,"",INDEX(RE[Faelligkeit],_Daten!$U$23)),"")</f>
        <v/>
      </c>
      <c r="G27" s="43">
        <f>IFERROR(IF(AND(INDEX(RE[Faelligkeit],_Daten!$U$23)&gt;0,INDEX(RE[Faelligkeit],_Daten!$U$23)&lt;TODAY()),"Ueberfaellig","Offen"),"")</f>
        <v/>
      </c>
      <c r="H27" s="43">
        <f>IFERROR(IF(AND(INDEX(RE[Faelligkeit],_Daten!$U$23)&gt;0,INDEX(RE[Faelligkeit],_Daten!$U$23)&lt;TODAY()),TODAY()-INDEX(RE[Faelligkeit],_Daten!$U$23),""),"")</f>
        <v/>
      </c>
    </row>
    <row r="28" ht="17" customHeight="1">
      <c r="A28" s="43">
        <f>IFERROR(INDEX(RE[Lfd. Nr.],_Daten!$U$24),"")</f>
        <v/>
      </c>
      <c r="B28" s="43">
        <f>IFERROR(INDEX(RE[Lieferant],_Daten!$U$24),"")</f>
        <v/>
      </c>
      <c r="C28" s="43">
        <f>IFERROR(INDEX(RE[Kategorie],_Daten!$U$24),"")</f>
        <v/>
      </c>
      <c r="D28" s="43">
        <f>IFERROR(INDEX(RE[Projekt],_Daten!$U$24),"")</f>
        <v/>
      </c>
      <c r="E28" s="44">
        <f>IFERROR(INDEX(RE[Brutto],_Daten!$U$24),"")</f>
        <v/>
      </c>
      <c r="F28" s="45">
        <f>IFERROR(IF(INDEX(RE[Faelligkeit],_Daten!$U$24)=0,"",INDEX(RE[Faelligkeit],_Daten!$U$24)),"")</f>
        <v/>
      </c>
      <c r="G28" s="43">
        <f>IFERROR(IF(AND(INDEX(RE[Faelligkeit],_Daten!$U$24)&gt;0,INDEX(RE[Faelligkeit],_Daten!$U$24)&lt;TODAY()),"Ueberfaellig","Offen"),"")</f>
        <v/>
      </c>
      <c r="H28" s="43">
        <f>IFERROR(IF(AND(INDEX(RE[Faelligkeit],_Daten!$U$24)&gt;0,INDEX(RE[Faelligkeit],_Daten!$U$24)&lt;TODAY()),TODAY()-INDEX(RE[Faelligkeit],_Daten!$U$24),""),"")</f>
        <v/>
      </c>
    </row>
    <row r="29" ht="17" customHeight="1">
      <c r="A29" s="43">
        <f>IFERROR(INDEX(RE[Lfd. Nr.],_Daten!$U$25),"")</f>
        <v/>
      </c>
      <c r="B29" s="43">
        <f>IFERROR(INDEX(RE[Lieferant],_Daten!$U$25),"")</f>
        <v/>
      </c>
      <c r="C29" s="43">
        <f>IFERROR(INDEX(RE[Kategorie],_Daten!$U$25),"")</f>
        <v/>
      </c>
      <c r="D29" s="43">
        <f>IFERROR(INDEX(RE[Projekt],_Daten!$U$25),"")</f>
        <v/>
      </c>
      <c r="E29" s="44">
        <f>IFERROR(INDEX(RE[Brutto],_Daten!$U$25),"")</f>
        <v/>
      </c>
      <c r="F29" s="45">
        <f>IFERROR(IF(INDEX(RE[Faelligkeit],_Daten!$U$25)=0,"",INDEX(RE[Faelligkeit],_Daten!$U$25)),"")</f>
        <v/>
      </c>
      <c r="G29" s="43">
        <f>IFERROR(IF(AND(INDEX(RE[Faelligkeit],_Daten!$U$25)&gt;0,INDEX(RE[Faelligkeit],_Daten!$U$25)&lt;TODAY()),"Ueberfaellig","Offen"),"")</f>
        <v/>
      </c>
      <c r="H29" s="43">
        <f>IFERROR(IF(AND(INDEX(RE[Faelligkeit],_Daten!$U$25)&gt;0,INDEX(RE[Faelligkeit],_Daten!$U$25)&lt;TODAY()),TODAY()-INDEX(RE[Faelligkeit],_Daten!$U$25),""),"")</f>
        <v/>
      </c>
    </row>
    <row r="30" ht="17" customHeight="1">
      <c r="A30" s="43">
        <f>IFERROR(INDEX(RE[Lfd. Nr.],_Daten!$U$26),"")</f>
        <v/>
      </c>
      <c r="B30" s="43">
        <f>IFERROR(INDEX(RE[Lieferant],_Daten!$U$26),"")</f>
        <v/>
      </c>
      <c r="C30" s="43">
        <f>IFERROR(INDEX(RE[Kategorie],_Daten!$U$26),"")</f>
        <v/>
      </c>
      <c r="D30" s="43">
        <f>IFERROR(INDEX(RE[Projekt],_Daten!$U$26),"")</f>
        <v/>
      </c>
      <c r="E30" s="44">
        <f>IFERROR(INDEX(RE[Brutto],_Daten!$U$26),"")</f>
        <v/>
      </c>
      <c r="F30" s="45">
        <f>IFERROR(IF(INDEX(RE[Faelligkeit],_Daten!$U$26)=0,"",INDEX(RE[Faelligkeit],_Daten!$U$26)),"")</f>
        <v/>
      </c>
      <c r="G30" s="43">
        <f>IFERROR(IF(AND(INDEX(RE[Faelligkeit],_Daten!$U$26)&gt;0,INDEX(RE[Faelligkeit],_Daten!$U$26)&lt;TODAY()),"Ueberfaellig","Offen"),"")</f>
        <v/>
      </c>
      <c r="H30" s="43">
        <f>IFERROR(IF(AND(INDEX(RE[Faelligkeit],_Daten!$U$26)&gt;0,INDEX(RE[Faelligkeit],_Daten!$U$26)&lt;TODAY()),TODAY()-INDEX(RE[Faelligkeit],_Daten!$U$26),""),"")</f>
        <v/>
      </c>
    </row>
    <row r="31" ht="17" customHeight="1">
      <c r="A31" s="43">
        <f>IFERROR(INDEX(RE[Lfd. Nr.],_Daten!$U$27),"")</f>
        <v/>
      </c>
      <c r="B31" s="43">
        <f>IFERROR(INDEX(RE[Lieferant],_Daten!$U$27),"")</f>
        <v/>
      </c>
      <c r="C31" s="43">
        <f>IFERROR(INDEX(RE[Kategorie],_Daten!$U$27),"")</f>
        <v/>
      </c>
      <c r="D31" s="43">
        <f>IFERROR(INDEX(RE[Projekt],_Daten!$U$27),"")</f>
        <v/>
      </c>
      <c r="E31" s="44">
        <f>IFERROR(INDEX(RE[Brutto],_Daten!$U$27),"")</f>
        <v/>
      </c>
      <c r="F31" s="45">
        <f>IFERROR(IF(INDEX(RE[Faelligkeit],_Daten!$U$27)=0,"",INDEX(RE[Faelligkeit],_Daten!$U$27)),"")</f>
        <v/>
      </c>
      <c r="G31" s="43">
        <f>IFERROR(IF(AND(INDEX(RE[Faelligkeit],_Daten!$U$27)&gt;0,INDEX(RE[Faelligkeit],_Daten!$U$27)&lt;TODAY()),"Ueberfaellig","Offen"),"")</f>
        <v/>
      </c>
      <c r="H31" s="43">
        <f>IFERROR(IF(AND(INDEX(RE[Faelligkeit],_Daten!$U$27)&gt;0,INDEX(RE[Faelligkeit],_Daten!$U$27)&lt;TODAY()),TODAY()-INDEX(RE[Faelligkeit],_Daten!$U$27),""),"")</f>
        <v/>
      </c>
    </row>
    <row r="32" ht="17" customHeight="1">
      <c r="A32" s="43">
        <f>IFERROR(INDEX(RE[Lfd. Nr.],_Daten!$U$28),"")</f>
        <v/>
      </c>
      <c r="B32" s="43">
        <f>IFERROR(INDEX(RE[Lieferant],_Daten!$U$28),"")</f>
        <v/>
      </c>
      <c r="C32" s="43">
        <f>IFERROR(INDEX(RE[Kategorie],_Daten!$U$28),"")</f>
        <v/>
      </c>
      <c r="D32" s="43">
        <f>IFERROR(INDEX(RE[Projekt],_Daten!$U$28),"")</f>
        <v/>
      </c>
      <c r="E32" s="44">
        <f>IFERROR(INDEX(RE[Brutto],_Daten!$U$28),"")</f>
        <v/>
      </c>
      <c r="F32" s="45">
        <f>IFERROR(IF(INDEX(RE[Faelligkeit],_Daten!$U$28)=0,"",INDEX(RE[Faelligkeit],_Daten!$U$28)),"")</f>
        <v/>
      </c>
      <c r="G32" s="43">
        <f>IFERROR(IF(AND(INDEX(RE[Faelligkeit],_Daten!$U$28)&gt;0,INDEX(RE[Faelligkeit],_Daten!$U$28)&lt;TODAY()),"Ueberfaellig","Offen"),"")</f>
        <v/>
      </c>
      <c r="H32" s="43">
        <f>IFERROR(IF(AND(INDEX(RE[Faelligkeit],_Daten!$U$28)&gt;0,INDEX(RE[Faelligkeit],_Daten!$U$28)&lt;TODAY()),TODAY()-INDEX(RE[Faelligkeit],_Daten!$U$28),""),"")</f>
        <v/>
      </c>
    </row>
    <row r="33" ht="17" customHeight="1">
      <c r="A33" s="43">
        <f>IFERROR(INDEX(RE[Lfd. Nr.],_Daten!$U$29),"")</f>
        <v/>
      </c>
      <c r="B33" s="43">
        <f>IFERROR(INDEX(RE[Lieferant],_Daten!$U$29),"")</f>
        <v/>
      </c>
      <c r="C33" s="43">
        <f>IFERROR(INDEX(RE[Kategorie],_Daten!$U$29),"")</f>
        <v/>
      </c>
      <c r="D33" s="43">
        <f>IFERROR(INDEX(RE[Projekt],_Daten!$U$29),"")</f>
        <v/>
      </c>
      <c r="E33" s="44">
        <f>IFERROR(INDEX(RE[Brutto],_Daten!$U$29),"")</f>
        <v/>
      </c>
      <c r="F33" s="45">
        <f>IFERROR(IF(INDEX(RE[Faelligkeit],_Daten!$U$29)=0,"",INDEX(RE[Faelligkeit],_Daten!$U$29)),"")</f>
        <v/>
      </c>
      <c r="G33" s="43">
        <f>IFERROR(IF(AND(INDEX(RE[Faelligkeit],_Daten!$U$29)&gt;0,INDEX(RE[Faelligkeit],_Daten!$U$29)&lt;TODAY()),"Ueberfaellig","Offen"),"")</f>
        <v/>
      </c>
      <c r="H33" s="43">
        <f>IFERROR(IF(AND(INDEX(RE[Faelligkeit],_Daten!$U$29)&gt;0,INDEX(RE[Faelligkeit],_Daten!$U$29)&lt;TODAY()),TODAY()-INDEX(RE[Faelligkeit],_Daten!$U$29),""),"")</f>
        <v/>
      </c>
    </row>
    <row r="34" ht="17" customHeight="1">
      <c r="A34" s="43">
        <f>IFERROR(INDEX(RE[Lfd. Nr.],_Daten!$U$30),"")</f>
        <v/>
      </c>
      <c r="B34" s="43">
        <f>IFERROR(INDEX(RE[Lieferant],_Daten!$U$30),"")</f>
        <v/>
      </c>
      <c r="C34" s="43">
        <f>IFERROR(INDEX(RE[Kategorie],_Daten!$U$30),"")</f>
        <v/>
      </c>
      <c r="D34" s="43">
        <f>IFERROR(INDEX(RE[Projekt],_Daten!$U$30),"")</f>
        <v/>
      </c>
      <c r="E34" s="44">
        <f>IFERROR(INDEX(RE[Brutto],_Daten!$U$30),"")</f>
        <v/>
      </c>
      <c r="F34" s="45">
        <f>IFERROR(IF(INDEX(RE[Faelligkeit],_Daten!$U$30)=0,"",INDEX(RE[Faelligkeit],_Daten!$U$30)),"")</f>
        <v/>
      </c>
      <c r="G34" s="43">
        <f>IFERROR(IF(AND(INDEX(RE[Faelligkeit],_Daten!$U$30)&gt;0,INDEX(RE[Faelligkeit],_Daten!$U$30)&lt;TODAY()),"Ueberfaellig","Offen"),"")</f>
        <v/>
      </c>
      <c r="H34" s="43">
        <f>IFERROR(IF(AND(INDEX(RE[Faelligkeit],_Daten!$U$30)&gt;0,INDEX(RE[Faelligkeit],_Daten!$U$30)&lt;TODAY()),TODAY()-INDEX(RE[Faelligkeit],_Daten!$U$30),""),"")</f>
        <v/>
      </c>
    </row>
  </sheetData>
  <mergeCells count="1">
    <mergeCell ref="C1:F2"/>
  </mergeCells>
  <conditionalFormatting sqref="G5:G34">
    <cfRule type="cellIs" priority="1" operator="equal" dxfId="2">
      <formula>"Ueberfaellig"</formula>
    </cfRule>
    <cfRule type="cellIs" priority="2" operator="equal" dxfId="0">
      <formula>"Offen"</formula>
    </cfRule>
  </conditionalFormatting>
  <pageMargins left="0.75" right="0.75" top="1" bottom="1" header="0.5" footer="0.5"/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2026-06-24T06:23:49Z</dcterms:created>
  <dcterms:modified xmlns:dcterms="http://purl.org/dc/terms/" xmlns:xsi="http://www.w3.org/2001/XMLSchema-instance" xsi:type="dcterms:W3CDTF">2026-06-24T06:23:50Z</dcterms:modified>
</cp:coreProperties>
</file>